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comments1.xml" ContentType="application/vnd.openxmlformats-officedocument.spreadsheetml.comments+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comments2.xml" ContentType="application/vnd.openxmlformats-officedocument.spreadsheetml.comments+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comments3.xml" ContentType="application/vnd.openxmlformats-officedocument.spreadsheetml.comments+xml"/>
  <Override PartName="/xl/tables/table74.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showInkAnnotation="0" hidePivotFieldList="1"/>
  <mc:AlternateContent xmlns:mc="http://schemas.openxmlformats.org/markup-compatibility/2006">
    <mc:Choice Requires="x15">
      <x15ac:absPath xmlns:x15ac="http://schemas.microsoft.com/office/spreadsheetml/2010/11/ac" url="N:\"/>
    </mc:Choice>
  </mc:AlternateContent>
  <xr:revisionPtr revIDLastSave="0" documentId="13_ncr:1_{F81C2F33-7D9F-497A-B97D-BC6CE5CB17BF}" xr6:coauthVersionLast="47" xr6:coauthVersionMax="47" xr10:uidLastSave="{00000000-0000-0000-0000-000000000000}"/>
  <bookViews>
    <workbookView xWindow="-120" yWindow="-120" windowWidth="29040" windowHeight="15840" firstSheet="2" activeTab="2" xr2:uid="{00000000-000D-0000-FFFF-FFFF00000000}"/>
  </bookViews>
  <sheets>
    <sheet name="Servente" sheetId="18" state="hidden" r:id="rId1"/>
    <sheet name="Encarregado" sheetId="19" state="hidden" r:id="rId2"/>
    <sheet name="RESUMO" sheetId="35" r:id="rId3"/>
    <sheet name="Encarregado (Líder)" sheetId="33" r:id="rId4"/>
    <sheet name="ASG" sheetId="26" r:id="rId5"/>
    <sheet name="Materiais" sheetId="14" r:id="rId6"/>
    <sheet name="Uniformes EPI" sheetId="27" r:id="rId7"/>
    <sheet name="Equipamentos" sheetId="28" r:id="rId8"/>
    <sheet name="Áreas e Produtividades" sheetId="34" r:id="rId9"/>
    <sheet name="Valor Unitário (m²)" sheetId="32" r:id="rId10"/>
  </sheets>
  <definedNames>
    <definedName name="__xlcn.WorksheetConnection_PlanilhaLimpeza.xlsxTable3" hidden="1">Table3</definedName>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Print_Area" localSheetId="4">ASG!$A$1:$D$148</definedName>
    <definedName name="Print_Area" localSheetId="3">'Encarregado (Líder)'!$A$1:$D$149</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14" l="1"/>
  <c r="F10" i="14"/>
  <c r="F58" i="14" l="1"/>
  <c r="D25" i="33" l="1"/>
  <c r="G6" i="32"/>
  <c r="G7" i="32"/>
  <c r="G10" i="32"/>
  <c r="G12" i="32"/>
  <c r="G13" i="32"/>
  <c r="G15" i="32"/>
  <c r="G16" i="32"/>
  <c r="G19" i="32"/>
  <c r="G20" i="32"/>
  <c r="G132" i="26" l="1"/>
  <c r="G132" i="33"/>
  <c r="D11" i="18"/>
  <c r="D17" i="18" s="1"/>
  <c r="G25" i="18" s="1"/>
  <c r="D94" i="18" s="1"/>
  <c r="C35" i="18"/>
  <c r="D50" i="18"/>
  <c r="D65" i="18"/>
  <c r="C96" i="18"/>
  <c r="D107" i="18"/>
  <c r="D112" i="18" s="1"/>
  <c r="D117" i="18"/>
  <c r="D121" i="18" s="1"/>
  <c r="D147" i="18" s="1"/>
  <c r="D118" i="18"/>
  <c r="D119" i="18"/>
  <c r="D120" i="18"/>
  <c r="C132" i="18"/>
  <c r="C133" i="18"/>
  <c r="C135" i="18"/>
  <c r="C136" i="18"/>
  <c r="C137" i="18"/>
  <c r="D11" i="19"/>
  <c r="D17" i="19" s="1"/>
  <c r="C35" i="19"/>
  <c r="C41" i="19"/>
  <c r="D50" i="19"/>
  <c r="D64" i="19"/>
  <c r="C96" i="19"/>
  <c r="D107" i="19"/>
  <c r="D112" i="19"/>
  <c r="D117" i="19"/>
  <c r="D121" i="19" s="1"/>
  <c r="D147" i="19" s="1"/>
  <c r="C132" i="19"/>
  <c r="C133" i="19"/>
  <c r="C135" i="19"/>
  <c r="C134" i="19" s="1"/>
  <c r="C136" i="19"/>
  <c r="C137" i="19"/>
  <c r="D144" i="19"/>
  <c r="D145" i="19"/>
  <c r="D17" i="33"/>
  <c r="C19" i="33"/>
  <c r="C20" i="33"/>
  <c r="C30" i="33" s="1"/>
  <c r="C21" i="33"/>
  <c r="D31" i="33"/>
  <c r="D41" i="33" s="1"/>
  <c r="C37" i="33"/>
  <c r="C38" i="33"/>
  <c r="C55" i="33"/>
  <c r="C81" i="33" s="1"/>
  <c r="C60" i="33"/>
  <c r="D60" i="33"/>
  <c r="D66" i="33" s="1"/>
  <c r="D72" i="33" s="1"/>
  <c r="C77" i="33"/>
  <c r="C79" i="33"/>
  <c r="C80" i="33"/>
  <c r="C82" i="33"/>
  <c r="C93" i="33"/>
  <c r="C94" i="33"/>
  <c r="C95" i="33"/>
  <c r="C96" i="33"/>
  <c r="C97" i="33"/>
  <c r="D104" i="33"/>
  <c r="C132" i="33"/>
  <c r="G130" i="33" s="1"/>
  <c r="D17" i="26"/>
  <c r="C19" i="26"/>
  <c r="C20" i="26"/>
  <c r="C21" i="26"/>
  <c r="D25" i="26"/>
  <c r="D31" i="26" s="1"/>
  <c r="D85" i="26" s="1"/>
  <c r="C37" i="26"/>
  <c r="C38" i="26"/>
  <c r="C55" i="26"/>
  <c r="C81" i="26" s="1"/>
  <c r="C60" i="26"/>
  <c r="D60" i="26"/>
  <c r="D66" i="26" s="1"/>
  <c r="D72" i="26" s="1"/>
  <c r="C77" i="26"/>
  <c r="C79" i="26"/>
  <c r="C80" i="26"/>
  <c r="C82" i="26"/>
  <c r="C93" i="26"/>
  <c r="C94" i="26"/>
  <c r="C95" i="26"/>
  <c r="C96" i="26"/>
  <c r="C97" i="26"/>
  <c r="D104" i="26"/>
  <c r="C132" i="26"/>
  <c r="G130" i="26" s="1"/>
  <c r="F6" i="14"/>
  <c r="F44" i="14"/>
  <c r="F12" i="14"/>
  <c r="F13" i="14"/>
  <c r="F4" i="14"/>
  <c r="F75" i="14"/>
  <c r="F16" i="14"/>
  <c r="F18" i="14"/>
  <c r="F69" i="14"/>
  <c r="F27" i="14"/>
  <c r="F28" i="14"/>
  <c r="F54" i="14"/>
  <c r="F30" i="14"/>
  <c r="F35" i="14"/>
  <c r="F53" i="14"/>
  <c r="F56" i="14"/>
  <c r="F55" i="14"/>
  <c r="F37" i="14"/>
  <c r="F5" i="14"/>
  <c r="F17" i="14"/>
  <c r="F59" i="14"/>
  <c r="F68" i="14"/>
  <c r="F67" i="14"/>
  <c r="F71" i="14"/>
  <c r="F70" i="14"/>
  <c r="F73" i="14"/>
  <c r="F72" i="14"/>
  <c r="F60" i="14"/>
  <c r="F78" i="14"/>
  <c r="F80" i="14"/>
  <c r="F79" i="14"/>
  <c r="F61" i="14"/>
  <c r="F81" i="14"/>
  <c r="F76" i="14"/>
  <c r="F82" i="14"/>
  <c r="F23" i="14"/>
  <c r="F11" i="14"/>
  <c r="F25" i="14"/>
  <c r="F65" i="14"/>
  <c r="F64" i="14"/>
  <c r="F66" i="14"/>
  <c r="F52" i="14"/>
  <c r="F51" i="14"/>
  <c r="F19" i="14"/>
  <c r="F20" i="14"/>
  <c r="F21" i="14"/>
  <c r="F48" i="14"/>
  <c r="F14" i="14"/>
  <c r="F15" i="14"/>
  <c r="F8" i="14"/>
  <c r="F9" i="14"/>
  <c r="F38" i="14"/>
  <c r="F41" i="14"/>
  <c r="F40" i="14"/>
  <c r="F39" i="14"/>
  <c r="F62" i="14"/>
  <c r="F63" i="14"/>
  <c r="F24" i="14"/>
  <c r="F47" i="14"/>
  <c r="F22" i="14"/>
  <c r="F33" i="14"/>
  <c r="F49" i="14"/>
  <c r="F50" i="14"/>
  <c r="F74" i="14"/>
  <c r="F34" i="14"/>
  <c r="F32" i="14"/>
  <c r="F7" i="14"/>
  <c r="F26" i="14"/>
  <c r="F29" i="14"/>
  <c r="F31" i="14"/>
  <c r="F36" i="14"/>
  <c r="F43" i="14"/>
  <c r="F77" i="14"/>
  <c r="F57" i="14"/>
  <c r="F46" i="14"/>
  <c r="F45" i="14"/>
  <c r="F4" i="27"/>
  <c r="F5" i="27"/>
  <c r="F6" i="27"/>
  <c r="F7" i="27"/>
  <c r="F8" i="27"/>
  <c r="F9" i="27"/>
  <c r="F10" i="27"/>
  <c r="F11" i="27"/>
  <c r="F12" i="27"/>
  <c r="F19" i="27"/>
  <c r="F20" i="27"/>
  <c r="F21" i="27"/>
  <c r="F22" i="27"/>
  <c r="F23" i="27"/>
  <c r="F2" i="28"/>
  <c r="F3" i="28"/>
  <c r="F4" i="28"/>
  <c r="F5" i="28"/>
  <c r="F6" i="28"/>
  <c r="I3" i="34"/>
  <c r="J3" i="34"/>
  <c r="K3" i="34"/>
  <c r="L3" i="34"/>
  <c r="O3" i="34"/>
  <c r="I4" i="34"/>
  <c r="K4" i="34"/>
  <c r="L4" i="34" s="1"/>
  <c r="I5" i="34"/>
  <c r="K5" i="34"/>
  <c r="L5" i="34" s="1"/>
  <c r="I6" i="34"/>
  <c r="J6" i="34"/>
  <c r="K6" i="34" s="1"/>
  <c r="L6" i="34"/>
  <c r="O6" i="34"/>
  <c r="I7" i="34"/>
  <c r="J7" i="34"/>
  <c r="K7" i="34"/>
  <c r="L7" i="34"/>
  <c r="O7" i="34"/>
  <c r="I8" i="34"/>
  <c r="K8" i="34"/>
  <c r="L8" i="34" s="1"/>
  <c r="I9" i="34"/>
  <c r="J9" i="34"/>
  <c r="K9" i="34" s="1"/>
  <c r="L9" i="34" s="1"/>
  <c r="I10" i="34"/>
  <c r="J10" i="34"/>
  <c r="K10" i="34" s="1"/>
  <c r="L10" i="34"/>
  <c r="O10" i="34"/>
  <c r="I11" i="34"/>
  <c r="J11" i="34"/>
  <c r="K11" i="34" s="1"/>
  <c r="L11" i="34" s="1"/>
  <c r="I12" i="34"/>
  <c r="J12" i="34"/>
  <c r="K12" i="34" s="1"/>
  <c r="L12" i="34"/>
  <c r="O12" i="34"/>
  <c r="I13" i="34"/>
  <c r="J13" i="34"/>
  <c r="K13" i="34" s="1"/>
  <c r="L13" i="34"/>
  <c r="O13" i="34"/>
  <c r="I14" i="34"/>
  <c r="J14" i="34"/>
  <c r="K14" i="34" s="1"/>
  <c r="L14" i="34" s="1"/>
  <c r="I15" i="34"/>
  <c r="J15" i="34"/>
  <c r="K15" i="34"/>
  <c r="L15" i="34"/>
  <c r="O15" i="34"/>
  <c r="F16" i="34"/>
  <c r="I16" i="34"/>
  <c r="J16" i="34"/>
  <c r="L16" i="34"/>
  <c r="O16" i="34"/>
  <c r="F17" i="34"/>
  <c r="I17" i="34"/>
  <c r="J17" i="34"/>
  <c r="F18" i="34"/>
  <c r="I18" i="34"/>
  <c r="J18" i="34"/>
  <c r="F19" i="34"/>
  <c r="I19" i="34"/>
  <c r="J19" i="34"/>
  <c r="K19" i="34" s="1"/>
  <c r="L19" i="34"/>
  <c r="O19" i="34"/>
  <c r="I20" i="34"/>
  <c r="J20" i="34"/>
  <c r="K20" i="34" s="1"/>
  <c r="L20" i="34"/>
  <c r="O20" i="34"/>
  <c r="C3" i="32"/>
  <c r="C4" i="32"/>
  <c r="C5" i="32"/>
  <c r="C6" i="32"/>
  <c r="C7" i="32"/>
  <c r="C8" i="32"/>
  <c r="C9" i="32"/>
  <c r="C10" i="32"/>
  <c r="C11" i="32"/>
  <c r="C12" i="32"/>
  <c r="C13" i="32"/>
  <c r="C14" i="32"/>
  <c r="C15" i="32"/>
  <c r="C16" i="32"/>
  <c r="C17" i="32"/>
  <c r="C18" i="32"/>
  <c r="C19" i="32"/>
  <c r="C20" i="32"/>
  <c r="F83" i="14" l="1"/>
  <c r="K18" i="34"/>
  <c r="L18" i="34" s="1"/>
  <c r="K16" i="34"/>
  <c r="C134" i="18"/>
  <c r="C99" i="33"/>
  <c r="D79" i="33"/>
  <c r="D82" i="33"/>
  <c r="D77" i="26"/>
  <c r="D78" i="26" s="1"/>
  <c r="D49" i="19"/>
  <c r="D54" i="19" s="1"/>
  <c r="D65" i="19" s="1"/>
  <c r="D143" i="18"/>
  <c r="C99" i="26"/>
  <c r="K17" i="34"/>
  <c r="L17" i="34" s="1"/>
  <c r="L21" i="34" s="1"/>
  <c r="M21" i="34" s="1"/>
  <c r="F7" i="28"/>
  <c r="C83" i="26"/>
  <c r="C83" i="33"/>
  <c r="F24" i="27"/>
  <c r="F25" i="27" s="1"/>
  <c r="D114" i="33" s="1"/>
  <c r="D119" i="33" s="1"/>
  <c r="F13" i="27"/>
  <c r="F14" i="27" s="1"/>
  <c r="D114" i="26" s="1"/>
  <c r="D38" i="26"/>
  <c r="D121" i="26"/>
  <c r="D140" i="26"/>
  <c r="D80" i="26"/>
  <c r="D81" i="26" s="1"/>
  <c r="D41" i="26"/>
  <c r="D79" i="26"/>
  <c r="D82" i="26"/>
  <c r="D37" i="26"/>
  <c r="D121" i="33"/>
  <c r="D141" i="33"/>
  <c r="D37" i="33"/>
  <c r="D80" i="33"/>
  <c r="D81" i="33" s="1"/>
  <c r="D77" i="33"/>
  <c r="D85" i="33"/>
  <c r="D38" i="33"/>
  <c r="G25" i="19"/>
  <c r="D94" i="19" s="1"/>
  <c r="D23" i="19"/>
  <c r="D22" i="19"/>
  <c r="D73" i="19"/>
  <c r="D143" i="19"/>
  <c r="D23" i="18"/>
  <c r="D22" i="18"/>
  <c r="F8" i="28" l="1"/>
  <c r="F9" i="28"/>
  <c r="F10" i="28" s="1"/>
  <c r="D39" i="26"/>
  <c r="D42" i="26" s="1"/>
  <c r="D43" i="26" s="1"/>
  <c r="D39" i="33"/>
  <c r="D70" i="33" s="1"/>
  <c r="D83" i="26"/>
  <c r="D142" i="26" s="1"/>
  <c r="D78" i="33"/>
  <c r="D83" i="33" s="1"/>
  <c r="D24" i="19"/>
  <c r="D24" i="18"/>
  <c r="D125" i="33"/>
  <c r="D145" i="33"/>
  <c r="M4" i="34"/>
  <c r="M10" i="34"/>
  <c r="M5" i="34"/>
  <c r="M11" i="34"/>
  <c r="M16" i="34"/>
  <c r="M19" i="34"/>
  <c r="M6" i="34"/>
  <c r="M12" i="34"/>
  <c r="M20" i="34"/>
  <c r="M7" i="34"/>
  <c r="M13" i="34"/>
  <c r="M17" i="34"/>
  <c r="M3" i="34"/>
  <c r="M14" i="34"/>
  <c r="M15" i="34"/>
  <c r="M9" i="34"/>
  <c r="M8" i="34"/>
  <c r="M18" i="34"/>
  <c r="D42" i="33" l="1"/>
  <c r="D43" i="33" s="1"/>
  <c r="D70" i="26"/>
  <c r="D87" i="26"/>
  <c r="D123" i="26"/>
  <c r="D48" i="26"/>
  <c r="D54" i="26"/>
  <c r="D49" i="26"/>
  <c r="D50" i="26"/>
  <c r="D52" i="26"/>
  <c r="D51" i="26"/>
  <c r="D47" i="26"/>
  <c r="D53" i="26"/>
  <c r="D87" i="33"/>
  <c r="D123" i="33"/>
  <c r="D143" i="33"/>
  <c r="N18" i="34"/>
  <c r="O18" i="34"/>
  <c r="D18" i="32"/>
  <c r="D17" i="32"/>
  <c r="N17" i="34"/>
  <c r="O17" i="34"/>
  <c r="O8" i="34"/>
  <c r="D8" i="32"/>
  <c r="N8" i="34"/>
  <c r="N16" i="34"/>
  <c r="D16" i="32"/>
  <c r="D63" i="19"/>
  <c r="D36" i="19"/>
  <c r="D33" i="19"/>
  <c r="D38" i="19"/>
  <c r="D35" i="19"/>
  <c r="D37" i="19"/>
  <c r="D34" i="19"/>
  <c r="D39" i="19"/>
  <c r="G24" i="19"/>
  <c r="D40" i="19"/>
  <c r="N9" i="34"/>
  <c r="O9" i="34"/>
  <c r="D9" i="32"/>
  <c r="N7" i="34"/>
  <c r="D7" i="32"/>
  <c r="N11" i="34"/>
  <c r="O11" i="34"/>
  <c r="D11" i="32"/>
  <c r="N15" i="34"/>
  <c r="D15" i="32"/>
  <c r="D20" i="32"/>
  <c r="N20" i="34"/>
  <c r="N5" i="34"/>
  <c r="D5" i="32"/>
  <c r="O5" i="34"/>
  <c r="D63" i="18"/>
  <c r="D33" i="18"/>
  <c r="D38" i="18"/>
  <c r="D35" i="18"/>
  <c r="G24" i="18"/>
  <c r="D36" i="18"/>
  <c r="D39" i="18"/>
  <c r="D34" i="18"/>
  <c r="D37" i="18"/>
  <c r="D40" i="18"/>
  <c r="O14" i="34"/>
  <c r="N14" i="34"/>
  <c r="D14" i="32"/>
  <c r="N12" i="34"/>
  <c r="D12" i="32"/>
  <c r="N10" i="34"/>
  <c r="D10" i="32"/>
  <c r="N3" i="34"/>
  <c r="D3" i="32"/>
  <c r="D6" i="32"/>
  <c r="N6" i="34"/>
  <c r="N4" i="34"/>
  <c r="O4" i="34"/>
  <c r="D4" i="32"/>
  <c r="D51" i="33"/>
  <c r="D49" i="33"/>
  <c r="D52" i="33"/>
  <c r="D47" i="33"/>
  <c r="D53" i="33"/>
  <c r="D48" i="33"/>
  <c r="D54" i="33"/>
  <c r="D50" i="33"/>
  <c r="D13" i="32"/>
  <c r="N13" i="34"/>
  <c r="N19" i="34"/>
  <c r="D19" i="32"/>
  <c r="D41" i="18" l="1"/>
  <c r="D64" i="18" s="1"/>
  <c r="D90" i="19"/>
  <c r="D91" i="19"/>
  <c r="D92" i="19"/>
  <c r="D93" i="19"/>
  <c r="D95" i="19"/>
  <c r="N21" i="34"/>
  <c r="F84" i="14" s="1"/>
  <c r="F85" i="14" s="1"/>
  <c r="D116" i="26" s="1"/>
  <c r="D70" i="18"/>
  <c r="D66" i="18"/>
  <c r="D75" i="18"/>
  <c r="D55" i="33"/>
  <c r="D71" i="33" s="1"/>
  <c r="D73" i="33" s="1"/>
  <c r="D75" i="19"/>
  <c r="D70" i="19"/>
  <c r="D91" i="18"/>
  <c r="D92" i="18"/>
  <c r="D95" i="18"/>
  <c r="D93" i="18"/>
  <c r="D90" i="18"/>
  <c r="D71" i="19"/>
  <c r="D74" i="19"/>
  <c r="D72" i="19"/>
  <c r="D72" i="18"/>
  <c r="D74" i="18"/>
  <c r="D71" i="18"/>
  <c r="D55" i="26"/>
  <c r="D71" i="26" s="1"/>
  <c r="D73" i="26" s="1"/>
  <c r="D86" i="26" l="1"/>
  <c r="D88" i="26" s="1"/>
  <c r="D122" i="26"/>
  <c r="D141" i="26"/>
  <c r="D96" i="18"/>
  <c r="D111" i="18" s="1"/>
  <c r="D113" i="18" s="1"/>
  <c r="D146" i="18" s="1"/>
  <c r="D144" i="18"/>
  <c r="D73" i="18"/>
  <c r="D76" i="18" s="1"/>
  <c r="D145" i="18" s="1"/>
  <c r="D96" i="19"/>
  <c r="D111" i="19" s="1"/>
  <c r="D113" i="19" s="1"/>
  <c r="D146" i="19" s="1"/>
  <c r="D13" i="26"/>
  <c r="C23" i="34"/>
  <c r="D13" i="33" s="1"/>
  <c r="F11" i="28"/>
  <c r="D117" i="26" s="1"/>
  <c r="D122" i="33"/>
  <c r="D142" i="33"/>
  <c r="D86" i="33"/>
  <c r="D88" i="33" s="1"/>
  <c r="D93" i="33" l="1"/>
  <c r="D96" i="33"/>
  <c r="D98" i="33"/>
  <c r="D94" i="33"/>
  <c r="D97" i="33"/>
  <c r="D95" i="33"/>
  <c r="D148" i="18"/>
  <c r="D132" i="18"/>
  <c r="D119" i="26"/>
  <c r="D148" i="19"/>
  <c r="D132" i="19"/>
  <c r="D94" i="26"/>
  <c r="D97" i="26"/>
  <c r="D98" i="26"/>
  <c r="D95" i="26"/>
  <c r="D96" i="26"/>
  <c r="D93" i="26"/>
  <c r="D99" i="26" l="1"/>
  <c r="D108" i="26" s="1"/>
  <c r="D110" i="26" s="1"/>
  <c r="D124" i="26" s="1"/>
  <c r="D138" i="19"/>
  <c r="D149" i="19" s="1"/>
  <c r="D133" i="19"/>
  <c r="D150" i="19" s="1"/>
  <c r="D133" i="18"/>
  <c r="D150" i="18" s="1"/>
  <c r="D138" i="18"/>
  <c r="D149" i="18" s="1"/>
  <c r="D144" i="26"/>
  <c r="D125" i="26"/>
  <c r="D99" i="33"/>
  <c r="D108" i="33" s="1"/>
  <c r="D110" i="33" s="1"/>
  <c r="D143" i="26" l="1"/>
  <c r="D126" i="26"/>
  <c r="D130" i="26" s="1"/>
  <c r="D131" i="26" s="1"/>
  <c r="G131" i="26" s="1"/>
  <c r="G133" i="26" s="1"/>
  <c r="D145" i="26"/>
  <c r="D136" i="18"/>
  <c r="D135" i="18"/>
  <c r="D137" i="18"/>
  <c r="D134" i="18"/>
  <c r="D136" i="19"/>
  <c r="D134" i="19"/>
  <c r="D137" i="19"/>
  <c r="D135" i="19"/>
  <c r="D124" i="33"/>
  <c r="D126" i="33" s="1"/>
  <c r="D144" i="33"/>
  <c r="D146" i="33" s="1"/>
  <c r="D133" i="26" l="1"/>
  <c r="D135" i="26"/>
  <c r="D134" i="26"/>
  <c r="D130" i="33"/>
  <c r="D131" i="33" s="1"/>
  <c r="G131" i="33" s="1"/>
  <c r="G133" i="33" s="1"/>
  <c r="D133" i="33" l="1"/>
  <c r="D134" i="33"/>
  <c r="D135" i="33"/>
  <c r="D132" i="26"/>
  <c r="D136" i="26" s="1"/>
  <c r="D146" i="26" s="1"/>
  <c r="D147" i="26" s="1"/>
  <c r="E4" i="32" l="1"/>
  <c r="E9" i="32"/>
  <c r="E8" i="32"/>
  <c r="E11" i="32"/>
  <c r="E17" i="32"/>
  <c r="E5" i="32"/>
  <c r="E14" i="32"/>
  <c r="E18" i="32"/>
  <c r="D132" i="33"/>
  <c r="D136" i="33" s="1"/>
  <c r="D147" i="33" s="1"/>
  <c r="D148" i="33" s="1"/>
  <c r="F4" i="32" l="1"/>
  <c r="G4" i="32" s="1"/>
  <c r="F9" i="32"/>
  <c r="G9" i="32" s="1"/>
  <c r="F11" i="32"/>
  <c r="F14" i="32"/>
  <c r="F5" i="32"/>
  <c r="G5" i="32" s="1"/>
  <c r="F17" i="32"/>
  <c r="G17" i="32" s="1"/>
  <c r="F8" i="32"/>
  <c r="G8" i="32" s="1"/>
  <c r="F18" i="32"/>
  <c r="F14" i="35" l="1"/>
  <c r="G14" i="35" s="1"/>
  <c r="F11" i="35"/>
  <c r="G11" i="35" s="1"/>
  <c r="G14" i="32"/>
  <c r="F13" i="35" s="1"/>
  <c r="G13" i="35" s="1"/>
  <c r="F10" i="35"/>
  <c r="G10" i="35" s="1"/>
  <c r="F9" i="35"/>
  <c r="G9" i="35" s="1"/>
  <c r="F8" i="35"/>
  <c r="G8" i="35" s="1"/>
  <c r="G18" i="32"/>
  <c r="F15" i="35" s="1"/>
  <c r="G15" i="35" s="1"/>
  <c r="G11" i="32"/>
  <c r="F12" i="35" s="1"/>
  <c r="G12" i="35" s="1"/>
  <c r="F16" i="35" l="1"/>
  <c r="F17" i="35" s="1"/>
  <c r="F21" i="35" s="1"/>
  <c r="G21"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 Carlos</author>
  </authors>
  <commentList>
    <comment ref="G16" authorId="0" shapeId="0" xr:uid="{00000000-0006-0000-0000-000001000000}">
      <text>
        <r>
          <rPr>
            <b/>
            <sz val="9"/>
            <rFont val="Tahoma"/>
            <family val="2"/>
          </rPr>
          <t>Daniel Carlos:</t>
        </r>
        <r>
          <rPr>
            <sz val="9"/>
            <rFont val="Tahoma"/>
            <family val="2"/>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 Carlos</author>
  </authors>
  <commentList>
    <comment ref="G16" authorId="0" shapeId="0" xr:uid="{00000000-0006-0000-0100-000001000000}">
      <text>
        <r>
          <rPr>
            <b/>
            <sz val="9"/>
            <rFont val="Tahoma"/>
            <family val="2"/>
          </rPr>
          <t>Daniel Carlos:</t>
        </r>
        <r>
          <rPr>
            <sz val="9"/>
            <rFont val="Tahoma"/>
            <family val="2"/>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 Carlos</author>
  </authors>
  <commentList>
    <comment ref="D2" authorId="0" shapeId="0" xr:uid="{00000000-0006-0000-0700-000001000000}">
      <text>
        <r>
          <rPr>
            <sz val="9"/>
            <rFont val="Tahoma"/>
            <family val="2"/>
          </rPr>
          <t>Utilizar esta coluna para inserir diretamente o quantitativo de m² para cada tipo de área, caso não se utilize a planilha "ambientes".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Daniel Carlos</author>
  </authors>
  <commentList>
    <comment ref="F2" authorId="0" shapeId="0" xr:uid="{00000000-0006-0000-0800-000001000000}">
      <text>
        <r>
          <rPr>
            <sz val="9"/>
            <rFont val="Tahoma"/>
            <family val="2"/>
          </rPr>
          <t>Remover os valores desta coluna, caso se opte pela não utilização do encarregado.</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WorksheetConnection_Planilha Limpeza.xlsx!Table3" type="5" refreshedVersion="0" background="1" saveData="1">
    <dbPr connection=""/>
  </connection>
</connections>
</file>

<file path=xl/sharedStrings.xml><?xml version="1.0" encoding="utf-8"?>
<sst xmlns="http://schemas.openxmlformats.org/spreadsheetml/2006/main" count="1519" uniqueCount="414">
  <si>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</si>
  <si>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</si>
  <si>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</si>
  <si>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</si>
  <si>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</si>
  <si>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</si>
  <si>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</si>
  <si>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</si>
  <si>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</si>
  <si>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</si>
  <si>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</si>
  <si>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</si>
  <si>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</si>
  <si>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</si>
  <si>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</si>
  <si>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</si>
  <si>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</si>
  <si>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</si>
  <si>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</si>
  <si>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</si>
  <si>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</si>
  <si>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</si>
  <si>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</si>
  <si>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</si>
  <si>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</si>
  <si>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</si>
  <si>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</si>
  <si>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</si>
  <si>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</si>
  <si>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</si>
  <si>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</si>
  <si>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</si>
  <si>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</si>
  <si>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</si>
  <si>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</si>
  <si>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</si>
  <si>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</si>
  <si>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</si>
  <si>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</si>
  <si>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</si>
  <si>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</si>
  <si>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</si>
  <si>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</si>
  <si>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</si>
  <si>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</si>
  <si>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</si>
  <si>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</si>
  <si>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</si>
  <si>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</si>
  <si>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</si>
  <si>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</si>
  <si>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</si>
  <si>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</si>
  <si>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</si>
  <si>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</si>
  <si>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</si>
  <si>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</si>
  <si>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</si>
  <si>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</si>
  <si>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</si>
  <si>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</si>
  <si>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</si>
  <si>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</si>
  <si>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</si>
  <si>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</si>
  <si>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</si>
  <si>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</si>
  <si>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</si>
  <si>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</si>
  <si>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</si>
  <si>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</si>
  <si>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</si>
  <si>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</si>
  <si>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</si>
  <si>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</si>
  <si>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</si>
  <si>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</si>
  <si>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</si>
  <si>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</si>
  <si>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</si>
  <si>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</si>
  <si>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</si>
  <si>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</si>
  <si>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</si>
  <si>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</si>
  <si>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</si>
  <si>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</si>
  <si>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</si>
  <si>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</si>
  <si>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</si>
  <si>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</si>
  <si>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</si>
  <si>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</si>
  <si>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</si>
  <si>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</si>
  <si>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</si>
  <si>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</si>
  <si>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</si>
  <si>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</si>
  <si>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</si>
  <si>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</si>
  <si>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</si>
  <si>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</si>
  <si>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</si>
  <si>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</si>
  <si>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</si>
  <si>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</si>
  <si>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</si>
  <si>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</si>
  <si>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</si>
  <si>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</si>
  <si>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</si>
  <si>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</si>
  <si>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</si>
  <si>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</si>
  <si>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</si>
  <si>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</si>
  <si>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</si>
  <si>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</si>
  <si>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</si>
  <si>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</si>
  <si>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</si>
  <si>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</si>
  <si>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</si>
  <si>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</si>
  <si>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</si>
  <si>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</si>
  <si>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</si>
  <si>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</si>
  <si>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</si>
  <si>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</si>
  <si>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</si>
  <si>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</si>
  <si>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</si>
  <si>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</si>
  <si>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</si>
  <si>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</si>
  <si>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</si>
  <si>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</si>
  <si>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</si>
  <si>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</si>
  <si>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</si>
  <si>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</si>
  <si>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</si>
  <si>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</si>
  <si>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</si>
  <si>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</si>
  <si>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</si>
  <si>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</si>
  <si>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</si>
  <si>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</si>
  <si>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</si>
  <si>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</si>
  <si>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</si>
  <si>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</si>
  <si>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</si>
  <si>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</si>
  <si>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</si>
  <si>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</si>
  <si>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</si>
  <si>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</si>
  <si>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</si>
  <si>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</si>
  <si>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</si>
  <si>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</si>
  <si>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</si>
  <si>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</si>
  <si>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</si>
  <si>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</si>
  <si>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</si>
  <si>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</si>
  <si>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</si>
  <si>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</si>
  <si>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</si>
  <si>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PLANILHA DE CUSTOS E FORMAÇÃO DE PREÇOS</t>
  </si>
  <si>
    <t>Licitação n°</t>
  </si>
  <si>
    <t>Discriminação dos Serviços (Dados Referente à Contratação)</t>
  </si>
  <si>
    <t>Data -  Apresentação da Proposta</t>
  </si>
  <si>
    <t>Município - ISSQN</t>
  </si>
  <si>
    <t>ISSQN 5 % (cinco por cento)</t>
  </si>
  <si>
    <t>Ano Acordo, Convenção ou Dissídio Coletivo</t>
  </si>
  <si>
    <t>Número de Meses de Execução Contratual</t>
  </si>
  <si>
    <t>12 (doze) meses</t>
  </si>
  <si>
    <t>Identificação do Serviço</t>
  </si>
  <si>
    <t>Tipo de Serviço</t>
  </si>
  <si>
    <t>Unidade de Medida</t>
  </si>
  <si>
    <t>Quantidade Total a Contratar</t>
  </si>
  <si>
    <t>44 horas</t>
  </si>
  <si>
    <t>MTE</t>
  </si>
  <si>
    <t>4101-05</t>
  </si>
  <si>
    <t>SEAC-PB</t>
  </si>
  <si>
    <t>01/JANEIRO</t>
  </si>
  <si>
    <t>GRUPO VI</t>
  </si>
  <si>
    <t>Outros (Gratificação)</t>
  </si>
  <si>
    <t> Submódulo 2.1 - 13º (décimo terceiro) Salário, Férias e Adicional de Férias</t>
  </si>
  <si>
    <t>13º (décimo terceiro) Salário, Férias e Adicional de Férias</t>
  </si>
  <si>
    <t>Férias e Adicional de Férias</t>
  </si>
  <si>
    <t>BASE DE CÁLCULO PARA O SUBMÓDULO 2.2</t>
  </si>
  <si>
    <t>MÓDULO 1</t>
  </si>
  <si>
    <t>MÓDULO 2.1</t>
  </si>
  <si>
    <t>TOTAL</t>
  </si>
  <si>
    <t>SAT (+FAP de 0,5 a 2,0) (Variação: 0,5% a 6 %)</t>
  </si>
  <si>
    <t>Assistência Médica e Familiar</t>
  </si>
  <si>
    <r>
      <rPr>
        <sz val="11"/>
        <color indexed="8"/>
        <rFont val="Calibri"/>
        <family val="2"/>
      </rPr>
      <t>Intervalo Intrajornada (</t>
    </r>
    <r>
      <rPr>
        <sz val="10"/>
        <color indexed="8"/>
        <rFont val="Calibri"/>
        <family val="2"/>
      </rPr>
      <t>não usufruído pelo empregado</t>
    </r>
    <r>
      <rPr>
        <sz val="11"/>
        <color indexed="8"/>
        <rFont val="Calibri"/>
        <family val="2"/>
      </rPr>
      <t>)</t>
    </r>
  </si>
  <si>
    <t>CCT PB000517/2021</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</si>
  <si>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</si>
  <si>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</si>
  <si>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</si>
  <si>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</si>
  <si>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</si>
  <si>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</si>
  <si>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</si>
  <si>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</si>
  <si>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</si>
  <si>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</si>
  <si>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</si>
  <si>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 xml:space="preserve">Uniformes </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</si>
  <si>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</si>
  <si>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</si>
  <si>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</si>
  <si>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</si>
  <si>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</si>
  <si>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</si>
  <si>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</si>
  <si>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</si>
  <si>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</si>
  <si>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</si>
  <si>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</si>
  <si>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</si>
  <si>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</si>
  <si>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Auxiliar de Serviços Gerais (ASG)</t>
  </si>
  <si>
    <t>5143-20</t>
  </si>
  <si>
    <t>GRUPO I</t>
  </si>
  <si>
    <t>Outros (Especificar)</t>
  </si>
  <si>
    <t>INSUMOS E MATERIAIS</t>
  </si>
  <si>
    <t>ITEM</t>
  </si>
  <si>
    <t>DESCRIÇÃO</t>
  </si>
  <si>
    <t>UNIDADE</t>
  </si>
  <si>
    <t xml:space="preserve">  VALOR UNITÁRIO ESTIMADO (R$) </t>
  </si>
  <si>
    <t>QUANTIDADE</t>
  </si>
  <si>
    <t>VALOR TOTAL  (R$)</t>
  </si>
  <si>
    <t>UND</t>
  </si>
  <si>
    <t>Custo Total dos Materiais por ASG</t>
  </si>
  <si>
    <t>Custo Mensal dos Materiais por ASG</t>
  </si>
  <si>
    <t>UNIFORMES | EPI (ASG)</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</si>
  <si>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</si>
  <si>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</si>
  <si>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</si>
  <si>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</si>
  <si>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</si>
  <si>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Crachá de identicação, em plástico rígido, contendo logomarca da empresa, foto e nome completo do funcionário.</t>
  </si>
  <si>
    <t>Óculos de proteção individual com lentes incolor, armação em policarbonato, lente em policarbonato, antiembaçante e anti-risco.</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</si>
  <si>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</si>
  <si>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</si>
  <si>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</si>
  <si>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UNIFORMES | EPI (ENCARREGADO - LÍDER)</t>
  </si>
  <si>
    <t>Custo Mensal por ENCARREGADO</t>
  </si>
  <si>
    <t>Manutenção mensal</t>
  </si>
  <si>
    <t>Depreciação mensal</t>
  </si>
  <si>
    <t>Custo Total dos equipamentos (Manutenção + Depreciação)</t>
  </si>
  <si>
    <t>Custo Total dos Equipamentos por ASG</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</si>
  <si>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</si>
  <si>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</si>
  <si>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</si>
  <si>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</si>
  <si>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</si>
  <si>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</si>
  <si>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</si>
  <si>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</si>
  <si>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</si>
  <si>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</si>
  <si>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</si>
  <si>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</si>
  <si>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</si>
  <si>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</si>
  <si>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</si>
  <si>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</si>
  <si>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</si>
  <si>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</si>
  <si>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</si>
  <si>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</si>
  <si>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</si>
  <si>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</si>
  <si>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</si>
  <si>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</si>
  <si>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</si>
  <si>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</si>
  <si>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</si>
  <si>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</si>
  <si>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</si>
  <si>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</si>
  <si>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</si>
  <si>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</si>
  <si>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</si>
  <si>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</si>
  <si>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</si>
  <si>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ENCARREGADO</t>
  </si>
  <si>
    <t>Valores por tipo de área</t>
  </si>
  <si>
    <t>Ki</t>
  </si>
  <si>
    <t>Preço Homem -Mês (Servente)</t>
  </si>
  <si>
    <t>Preço Homem -Mês (Encarregado)</t>
  </si>
  <si>
    <t>Preço m²</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</si>
  <si>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</si>
  <si>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</si>
  <si>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</si>
  <si>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CÓDIGO CATSER</t>
  </si>
  <si>
    <t>QUANTDADE TOTAL</t>
  </si>
  <si>
    <t>VALOR TOTAL MÁXIMO ACEITÁVEL</t>
  </si>
  <si>
    <t>VALOR 
TOTAL 
MÁXIMO 
ACEITÁVEL</t>
  </si>
  <si>
    <t>Metro Quadrado</t>
  </si>
  <si>
    <t>xx/02/2022</t>
  </si>
  <si>
    <t>QUANTIDADE ANUAL</t>
  </si>
  <si>
    <t>QUANTIDADE Anual</t>
  </si>
  <si>
    <t>Caixa</t>
  </si>
  <si>
    <t>Capa de chuva, conjunto calça e jaqueta, impermeável material pvc adicionais com capuz.</t>
  </si>
  <si>
    <r>
      <t xml:space="preserve"> </t>
    </r>
    <r>
      <rPr>
        <b/>
        <sz val="11"/>
        <color indexed="8"/>
        <rFont val="Arial"/>
        <family val="2"/>
      </rPr>
      <t>INSTITUTO FEDERAL DA PARAÍBA - CAMPUS CAJAZEIRAS</t>
    </r>
  </si>
  <si>
    <t>Processo Administrativo n.° 23324.000203.2023-43</t>
  </si>
  <si>
    <t>xx/02/2023</t>
  </si>
  <si>
    <t>Calça Jeans, com dois bolsos laterais e dois bolsos traseiros.</t>
  </si>
  <si>
    <t>VALOR TOTAL MÁXIMO ACEITÁVEL ANUAL</t>
  </si>
  <si>
    <t>VALOR TOTAL MÁXIMO ACEITÁVEL MENSAL</t>
  </si>
  <si>
    <t>Resumo dos Serviços</t>
  </si>
  <si>
    <t>CATSER</t>
  </si>
  <si>
    <t>Descrição do Serviço</t>
  </si>
  <si>
    <t>Unidade</t>
  </si>
  <si>
    <t>2402-3</t>
  </si>
  <si>
    <t>Serviço</t>
  </si>
  <si>
    <t>Valor total Mensal</t>
  </si>
  <si>
    <t>Valor Total Anual</t>
  </si>
  <si>
    <r>
      <t>Serviços continuados de limpeza e conservação predial, com fornecimento de materiais e equipamentos para atender as necessidades do IFPB C</t>
    </r>
    <r>
      <rPr>
        <i/>
        <sz val="12"/>
        <color theme="1"/>
        <rFont val="Times New Roman"/>
        <family val="1"/>
      </rPr>
      <t xml:space="preserve">ampus </t>
    </r>
    <r>
      <rPr>
        <sz val="12"/>
        <color theme="1"/>
        <rFont val="Times New Roman"/>
        <family val="1"/>
      </rPr>
      <t>Cajazeiras</t>
    </r>
  </si>
  <si>
    <r>
      <t>ÁCIDO MURIÁTICO -</t>
    </r>
    <r>
      <rPr>
        <sz val="10"/>
        <rFont val="Arial"/>
        <family val="2"/>
      </rPr>
      <t xml:space="preserve"> Limpador base ácida, composição básica: ácido sulfônico, fluorídrico e muriático, aspecto físico: líquido, cor: incolor, aplicação: limpeza de pisos, características adicionais: biodegradável. Embalagem com 5 Litros.</t>
    </r>
  </si>
  <si>
    <r>
      <t>ADESIVO SANITÁRIO:</t>
    </r>
    <r>
      <rPr>
        <sz val="10"/>
        <rFont val="Arial"/>
        <family val="2"/>
      </rPr>
      <t xml:space="preserve"> Pastilha adesiva detergente biodegradável, sem adição de fosfato, peso 25 gr, odor agradável, embalagem com identificação do fabricante, data de fabricação e validade, registro/notificação na Anvisa. Caixa com 3 unidades</t>
    </r>
  </si>
  <si>
    <r>
      <t xml:space="preserve">ÁLCOOL ETÍLICO 70% - </t>
    </r>
    <r>
      <rPr>
        <sz val="10"/>
        <rFont val="Arial"/>
        <family val="2"/>
      </rPr>
      <t>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</si>
  <si>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r>
      <t xml:space="preserve">ASPERSOR - </t>
    </r>
    <r>
      <rPr>
        <sz val="10"/>
        <rFont val="Arial"/>
        <family val="2"/>
      </rPr>
      <t>irrigador 6 jatos com sistema giratório para maior alcance da água. Ideal para pequenos e médios projetos de irrigação área de irrigação 36 m²  material metal tipo de material zamac cor prata comprimento 52 cm</t>
    </r>
  </si>
  <si>
    <r>
      <t xml:space="preserve">BALDE COM TAMPA 100 L - </t>
    </r>
    <r>
      <rPr>
        <sz val="10"/>
        <rFont val="Arial"/>
        <family val="2"/>
      </rPr>
      <t>Material plástico; com tampa; capacidade 100 litros; injetado em polipropileno (pp), com superfície polida para facilitar a higienização e evitar o acúmulo de sujeira.</t>
    </r>
  </si>
  <si>
    <r>
      <t xml:space="preserve">BALDE MULTIUSO 15 L - </t>
    </r>
    <r>
      <rPr>
        <sz val="10"/>
        <rFont val="Arial"/>
        <family val="2"/>
      </rPr>
      <t>Balde, material: plástico, com bico, tamanho: médio, material alça: arame galvanizado revestido, capacidade: 12 l, cor: preta</t>
    </r>
  </si>
  <si>
    <r>
      <t xml:space="preserve">CARRINHO DE MÃO - </t>
    </r>
    <r>
      <rPr>
        <sz val="10"/>
        <rFont val="Arial"/>
        <family val="2"/>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</si>
  <si>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t>CÊRA ACRÍLICA</t>
    </r>
    <r>
      <rPr>
        <sz val="10"/>
        <rFont val="Arial"/>
        <family val="2"/>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</si>
  <si>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t>CLORO LÍQUIDO</t>
    </r>
    <r>
      <rPr>
        <sz val="10"/>
        <rFont val="Arial"/>
        <family val="2"/>
      </rPr>
      <t xml:space="preserve"> - Hipoclorito de sódio, aspecto: Líquido transparente, Cor: Levemente amarelado, pH: 12 ± 1,  teor de CLORO ATIVO: 5.0% ± 0,5. Apresentação: Embalagem com 5 Litros.</t>
    </r>
  </si>
  <si>
    <r>
      <t xml:space="preserve">DESENTUPIDOR DE PIA - </t>
    </r>
    <r>
      <rPr>
        <sz val="10"/>
        <rFont val="Arial"/>
        <family val="2"/>
      </rPr>
      <t xml:space="preserve">Desentopidor de pia, composto por polipropileno e borracha termoplástica, com alto poder de sucção, sanfonado. </t>
    </r>
    <r>
      <rPr>
        <b/>
        <sz val="10"/>
        <rFont val="Arial"/>
        <family val="2"/>
      </rPr>
      <t xml:space="preserve">
</t>
    </r>
  </si>
  <si>
    <r>
      <t>DESENTUPIDOR DE VASO SANITÁRIO</t>
    </r>
    <r>
      <rPr>
        <sz val="10"/>
        <rFont val="Arial"/>
        <family val="2"/>
      </rPr>
      <t xml:space="preserve"> - Desentopidor de vaso sanitário, composto por polipropileno e borracha termoplástica, cabo longo, com alto poder de sucção. </t>
    </r>
    <r>
      <rPr>
        <b/>
        <sz val="10"/>
        <rFont val="Arial"/>
        <family val="2"/>
      </rPr>
      <t xml:space="preserve">
</t>
    </r>
  </si>
  <si>
    <r>
      <rPr>
        <b/>
        <sz val="10"/>
        <rFont val="Arial"/>
        <family val="2"/>
      </rPr>
      <t>DESINFETANTE INSTITUCIONAL:</t>
    </r>
    <r>
      <rPr>
        <sz val="10"/>
        <rFont val="Arial"/>
        <family val="2"/>
      </rPr>
      <t xml:space="preserve"> Desinfetante líquido superconcentrado, com ação bactericida e germicida, características complementares: - à base de quaternário de amônia, com ação desinfetante, 100% dos produtos com fragrância lavanda: - para desinfetar e limpar ralos, vasos e louças sanitárias, pisos, ladrilhos, azulejos e demais superfícies esmaltadas ou pintadas. Possuir dispositivo dosador de engate direto da saída de água e evite o contato direto do operador com o produto puro; - diluição mínima de 01 (um) litro de produto em 20  (vente) litro de água. Apresentação: Embalagem com 5 litros</t>
    </r>
  </si>
  <si>
    <r>
      <t>DESODORIZADOR DE AMBIENTE</t>
    </r>
    <r>
      <rPr>
        <sz val="10"/>
        <rFont val="Arial"/>
        <family val="2"/>
      </rPr>
      <t xml:space="preserve"> - Desodorizador, essência: neutra, apresentação: aerosol, aplicação: aromatizador ambiental, características adicionais: não contenha CFC. Apresentação: Embalagem com 360 ml.</t>
    </r>
  </si>
  <si>
    <r>
      <t>DETERGENTE DE USO GERAL</t>
    </r>
    <r>
      <rPr>
        <sz val="10"/>
        <rFont val="Arial"/>
        <family val="2"/>
      </rPr>
      <t xml:space="preserve"> - Detergente, composição: tensoativo aniônico,amônica alcalizante e sequestr, aplicação: limpeza em geral, características adicionais: ph 10,5 a 11,5, aspecto físico: líquido. Apresentação: Embalagem com 5 litros.</t>
    </r>
  </si>
  <si>
    <r>
      <t>DISCO LIMPADOR VERDE -</t>
    </r>
    <r>
      <rPr>
        <sz val="10"/>
        <rFont val="Arial"/>
        <family val="2"/>
      </rPr>
      <t xml:space="preserve"> Disco de limpeza em feltro, próprio para enceradeiras ou auto lavadoras de baixa rotação (175-300 rpm), Espessura (mínima): 21,0 mm.</t>
    </r>
  </si>
  <si>
    <r>
      <t xml:space="preserve">DISCO LUSTRADOR BRANCO - </t>
    </r>
    <r>
      <rPr>
        <sz val="10"/>
        <rFont val="Arial"/>
        <family val="2"/>
      </rPr>
      <t>Disco lustrador em não-tecido à base de fibras sintéticas e mineral abrasivo unidos por adesivo sintético resistente a água, detergentes e outros limpadores normalmente usados na manutenção do piso, espessura nominal: 25,4 mm.</t>
    </r>
  </si>
  <si>
    <r>
      <t xml:space="preserve">DISCO REMOVEDOR VERMELHO - </t>
    </r>
    <r>
      <rPr>
        <sz val="10"/>
        <rFont val="Arial"/>
        <family val="2"/>
      </rPr>
      <t>Disco removedor, composição: fibra sintética com abrasivo, Indicação de Uso: remover sujidades leves, espessura nominal: 25,4 mm.</t>
    </r>
  </si>
  <si>
    <r>
      <t xml:space="preserve">DISPENSER HIGIENIZADOR PARA SABONETE LÍQUIDO -  </t>
    </r>
    <r>
      <rPr>
        <sz val="10"/>
        <rFont val="Arial"/>
        <family val="2"/>
      </rPr>
      <t>Dispenser higienizador, material: plástico abs, capacidade: 800 ml, tipo fixação: parede, cor: branca, aplicação: mãos, características adicionais: visor frontal para sabonete líquido.</t>
    </r>
  </si>
  <si>
    <r>
      <t xml:space="preserve">ENXADA - </t>
    </r>
    <r>
      <rPr>
        <sz val="10"/>
        <rFont val="Arial"/>
        <family val="2"/>
      </rPr>
      <t>Enxada, material: aço carbono, largura: 296 mm, material cabo: madeira, comprimento cabo: 150 cm</t>
    </r>
  </si>
  <si>
    <r>
      <t xml:space="preserve">ESCADA MULTIUSO - </t>
    </r>
    <r>
      <rPr>
        <sz val="10"/>
        <rFont val="Arial"/>
        <family val="2"/>
      </rPr>
      <t>Escada multiuso, material: alumínio, número degraus: 6 un, altura: 1,90 m, características adicionais: pés antiderrapantes, trava de segurança, capacidade: 150 kg, peso: 6 kg, tipo: dobrável</t>
    </r>
  </si>
  <si>
    <r>
      <t xml:space="preserve">ESCOVA LIMPEZA GERAL - </t>
    </r>
    <r>
      <rPr>
        <sz val="10"/>
        <rFont val="Arial"/>
        <family val="2"/>
      </rPr>
      <t>Escova limpeza geral, material corpo: plástico, material cerdas: náilon, características adicionais: ovalada, comprimento: 12,50 cm, largura: 6 cm, espessura: 4 cm.</t>
    </r>
  </si>
  <si>
    <r>
      <t>ESPANADOR -</t>
    </r>
    <r>
      <rPr>
        <sz val="10"/>
        <rFont val="Arial"/>
        <family val="2"/>
      </rPr>
      <t xml:space="preserve"> Indicado para limpeza doméstica de cristais, móveis, computadores, locais de difícil acesso e também vitrines e prateleiras  cabo 43 cm e total 70 cm.</t>
    </r>
  </si>
  <si>
    <r>
      <t xml:space="preserve">ESPONJA MULTIUSO LIMPEZA PESADA - </t>
    </r>
    <r>
      <rPr>
        <sz val="10"/>
        <rFont val="Arial"/>
        <family val="2"/>
      </rPr>
      <t>Esponja multiuso para limpeza pesada, Dimensões Aproximadas: 101x225mm; Matéria Prima: Fibra Sintética com abrasivo. Apresentação:  Embalagem com 10 unidades.</t>
    </r>
  </si>
  <si>
    <r>
      <t>ESPONJA MULTIUSO PARA LIMPEZA DE BANHEIROS</t>
    </r>
    <r>
      <rPr>
        <sz val="10"/>
        <rFont val="Arial"/>
        <family val="2"/>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</si>
  <si>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t xml:space="preserve">FACÃO </t>
    </r>
    <r>
      <rPr>
        <sz val="10"/>
        <rFont val="Arial"/>
        <family val="2"/>
      </rPr>
      <t>- lâmina em aço carbono com fio liso cabo de polipropileno fixado por pregos de alumínio com mais resistência e durabilidade tamanho da lâmina:  20".</t>
    </r>
  </si>
  <si>
    <r>
      <t xml:space="preserve">FLANELA - </t>
    </r>
    <r>
      <rPr>
        <sz val="10"/>
        <rFont val="Arial"/>
        <family val="2"/>
      </rPr>
      <t>Flanela, material: 100% algodão, comprimento: 50 cm, largura: 30 cm, cor: branca.</t>
    </r>
  </si>
  <si>
    <r>
      <t xml:space="preserve">FOICE - </t>
    </r>
    <r>
      <rPr>
        <sz val="10"/>
        <rFont val="Arial"/>
        <family val="2"/>
      </rPr>
      <t>material aço, tratamento superficial, pintura envernizada, tipo aberta, comprimento lâmina 40 cm, peso 900 g, comprimento cabo 1,10 m, material do cabo: madeira.</t>
    </r>
  </si>
  <si>
    <r>
      <t xml:space="preserve">FORMICIDA - </t>
    </r>
    <r>
      <rPr>
        <sz val="10"/>
        <rFont val="Arial"/>
        <family val="2"/>
      </rPr>
      <t>Isca formicida granulada para controle de formigas cortadeiras, embalagem de 500g</t>
    </r>
  </si>
  <si>
    <r>
      <t xml:space="preserve">HERBICIDA – </t>
    </r>
    <r>
      <rPr>
        <sz val="10"/>
        <rFont val="Arial"/>
        <family val="2"/>
      </rPr>
      <t>herbicida glifosato concentrado solúvel. Composição: Sal de Di-amônio de N-(phosphonomethyl)glycine (GLIFOSATO) 445 g/L (44,5% m/v). Equivalente ácido de N-(phosphonomethyl)glycine (GLIFOSATO), 370 g/L (37,0% m/v). Embalagem 1 litro.</t>
    </r>
  </si>
  <si>
    <r>
      <t xml:space="preserve">INSETICIDA AEROSOL -  </t>
    </r>
    <r>
      <rPr>
        <sz val="10"/>
        <rFont val="Arial"/>
        <family val="2"/>
      </rPr>
      <t>para aplicação contra baratas, moscas, mosquitos, aranhas, formigas, composição: d-aletrina 0,1%, permetrina 0,1%, tetrametrina 0,35%, solvente alifático e propelente (propano/butano). O produto deve ter registro no ministério da saúde. Embalagem com dados do fabricante. Lata com 300 ml.</t>
    </r>
  </si>
  <si>
    <r>
      <t>LÃ DE AÇO</t>
    </r>
    <r>
      <rPr>
        <sz val="10"/>
        <rFont val="Arial"/>
        <family val="2"/>
      </rPr>
      <t xml:space="preserve"> - Composição: aço carbono, tipo fina, 60 g. Apesentação: Embalagem com 8 unidades.</t>
    </r>
  </si>
  <si>
    <r>
      <t xml:space="preserve">LIMA - </t>
    </r>
    <r>
      <rPr>
        <sz val="10"/>
        <rFont val="Arial"/>
        <family val="2"/>
      </rPr>
      <t>Jogo com 6 peças com cabo, sendo: 1 chata paralela, 1 meia-cana afilada, 1 triangular afilada, 1 redonda afilada, 1 quadrada afilada e 1 chata afilada comprimento da lima 150,0 mm com cabo em polipropileno com borracha termoplástica.</t>
    </r>
  </si>
  <si>
    <r>
      <t xml:space="preserve">LIMPA VIDROS - </t>
    </r>
    <r>
      <rPr>
        <sz val="10"/>
        <rFont val="Arial"/>
        <family val="2"/>
      </rPr>
      <t>Limpa-vidro, aspecto físico: líquido, composição: lauril éter, sulfato de sódio, características adicionais: pulverizador com gatilho. Apresentação: Embalgem com 5 Litros</t>
    </r>
  </si>
  <si>
    <r>
      <t xml:space="preserve">LIXEIRA 100 L - </t>
    </r>
    <r>
      <rPr>
        <sz val="10"/>
        <rFont val="Arial"/>
        <family val="2"/>
      </rPr>
      <t>Lixeira, material: polietileno de média densidade, capacidade: 100 l, tipo: basculante, altura: 1.010 mm, formato: quadrada, largura: 410 mm, peso: 6,5 kg, aplicação: coleta de lixo, comprimento: 410 mm</t>
    </r>
  </si>
  <si>
    <r>
      <t xml:space="preserve">LIXEIRA 15 L - </t>
    </r>
    <r>
      <rPr>
        <sz val="10"/>
        <rFont val="Arial"/>
        <family val="2"/>
      </rPr>
      <t>Lixeira, material: polipropileno, capacidade: 15 l, tipo: quadrada, cor: preta, características adicionais: com tampa vai e vem.</t>
    </r>
  </si>
  <si>
    <r>
      <t xml:space="preserve">LIXEIRA 40 L - </t>
    </r>
    <r>
      <rPr>
        <sz val="10"/>
        <rFont val="Arial"/>
        <family val="2"/>
      </rPr>
      <t>Lixeira, material: plástico, capacidade: 40 l, tipo: com tampa, características adicionais: com tampa e pedal.</t>
    </r>
  </si>
  <si>
    <r>
      <t xml:space="preserve">LIXEIRA 60 L - </t>
    </r>
    <r>
      <rPr>
        <sz val="10"/>
        <rFont val="Arial"/>
        <family val="2"/>
      </rPr>
      <t>Lixeira, material: polipropileno, capacidade: 60 l, tipo: com tampa vai-vem, cor: branca, revestimento: tratamento em uv</t>
    </r>
  </si>
  <si>
    <r>
      <t xml:space="preserve">Lustrar móveis </t>
    </r>
    <r>
      <rPr>
        <sz val="10"/>
        <rFont val="Arial"/>
        <family val="2"/>
      </rPr>
      <t>acondicionados em frasco plástico de 500 ml, fragrância lavanda, contendo ceras, silicone, emulsificantes, espessante, conservante.</t>
    </r>
  </si>
  <si>
    <r>
      <t xml:space="preserve">LUVA - </t>
    </r>
    <r>
      <rPr>
        <sz val="10"/>
        <rFont val="Arial"/>
        <family val="2"/>
      </rPr>
      <t>Aplicação: limpeza de esgoto: luva em pvc forrada verde e palma áspera para ser usada na limpeza de esgotos e materiais escorregadios, punho 35 cm.</t>
    </r>
  </si>
  <si>
    <r>
      <t>LUVA DE LATEX</t>
    </r>
    <r>
      <rPr>
        <sz val="10"/>
        <rFont val="Arial"/>
        <family val="2"/>
      </rPr>
      <t xml:space="preserve"> - Luva de segurança confeccionada em látex natural forrada internamente com flocos de algodão acabamento antiderrapante na palma face palmar dos dedos extremidade dos dedos. Tamanhos: P, M e G. Apresentação: PAR</t>
    </r>
  </si>
  <si>
    <r>
      <t xml:space="preserve">MACHADO - </t>
    </r>
    <r>
      <rPr>
        <sz val="10"/>
        <rFont val="Arial"/>
        <family val="2"/>
      </rPr>
      <t xml:space="preserve"> material aço carbono, material encaixe cabo aço carbono, material cabo madeira, largura 10 cm, altura 50 cm, peso 2 kg, aplicação.</t>
    </r>
  </si>
  <si>
    <r>
      <t xml:space="preserve">MACHADO (MACHADINHA) - </t>
    </r>
    <r>
      <rPr>
        <sz val="10"/>
        <rFont val="Arial"/>
        <family val="2"/>
      </rPr>
      <t>Cabo em fibra de vidro com empunhadura emborrachada; Peso: 600g</t>
    </r>
  </si>
  <si>
    <r>
      <t xml:space="preserve">Mangueira para jardim trançada 50 metros ½ cor: </t>
    </r>
    <r>
      <rPr>
        <sz val="10"/>
        <rFont val="Arial"/>
        <family val="2"/>
      </rPr>
      <t>verde componente do produto: mangueira trançada tipo de material: plástico policarbonato flexível sendo: um camada interna em pvc, camada intermediária em poliéster trançado e camada externa em pvc.</t>
    </r>
  </si>
  <si>
    <r>
      <t xml:space="preserve">Mangueira para jardim </t>
    </r>
    <r>
      <rPr>
        <sz val="10"/>
        <rFont val="Arial"/>
        <family val="2"/>
      </rPr>
      <t>trançada 50 metros 3/4 cor: verde componente do produto: mangueira trançada tipo de material: plástico policarbonato flexível sendo: um camada interna em pvc, camada intermediária em poliéster trançado e camada externa em pvc.</t>
    </r>
  </si>
  <si>
    <r>
      <t xml:space="preserve">NAFTALINA - </t>
    </r>
    <r>
      <rPr>
        <sz val="10"/>
        <rFont val="Arial"/>
        <family val="2"/>
      </rPr>
      <t xml:space="preserve">Pacote 30g, composição: naftaleno refinado. O produto deve ter registro no ministério da saúde. Com dados do fabricante, data de fabricação e prazo de validade na embalagem. </t>
    </r>
  </si>
  <si>
    <r>
      <t>ÓLEO DE PEROBA -</t>
    </r>
    <r>
      <rPr>
        <sz val="10"/>
        <rFont val="Arial"/>
        <family val="2"/>
      </rPr>
      <t xml:space="preserve"> composição solvente mineral e vegetal com aromatizante, aspecto físico líquido oleaginoso, aroma madeira natural, aplicação limpeza, lustro e renovação de móveis de madeira. Embalagem de 200ml.</t>
    </r>
  </si>
  <si>
    <r>
      <t xml:space="preserve">PÁ - </t>
    </r>
    <r>
      <rPr>
        <sz val="10"/>
        <rFont val="Arial"/>
        <family val="2"/>
      </rPr>
      <t>Pá, material cabo: madeira, aplicação: construção civil, material: aço carbono, formato: quadrada, tamanho: 330 x 275 mm, comprimento cabo: 0,74 m, características adicionais: cabo madeira em y</t>
    </r>
  </si>
  <si>
    <r>
      <t xml:space="preserve">Pá de lixo em plástico com cabo dobrável; </t>
    </r>
    <r>
      <rPr>
        <sz val="10"/>
        <rFont val="Arial"/>
        <family val="2"/>
      </rPr>
      <t>cabo em madeira com 1,20cm e pá de dimensões mínimas de 22 x 26 cm, com junta dobrável e com apoio para firmar a pá com pé; refil em pvc na base.</t>
    </r>
  </si>
  <si>
    <r>
      <t>PANO DE CHÃO</t>
    </r>
    <r>
      <rPr>
        <sz val="10"/>
        <rFont val="Arial"/>
        <family val="2"/>
      </rPr>
      <t xml:space="preserve"> - Pano de chão alvejado, em algodão, dimenções aproximadas: 70 x 50 cm.</t>
    </r>
  </si>
  <si>
    <r>
      <t xml:space="preserve">PANO MULTIUSO </t>
    </r>
    <r>
      <rPr>
        <sz val="10"/>
        <rFont val="Arial"/>
        <family val="2"/>
      </rPr>
      <t>- Pano 100% microfibra, multiuso, dimenções aproximadas: 30 x 30 cm, 200 g/m². Apresentação: Embalagem com 3 unidades.</t>
    </r>
  </si>
  <si>
    <r>
      <t xml:space="preserve">PAPEL HIGIÊNICO FOLHA DUPLA - </t>
    </r>
    <r>
      <rPr>
        <sz val="10"/>
        <rFont val="Arial"/>
        <family val="2"/>
      </rPr>
      <t>Papel higiênico, material: celulose virgem, com pré-bio dermatológico, que tem a função de preservar o pH natural da pele, largura: 10 cm, comprimento: 30 m, cor: branca, características adicionais: picotado, folha dupla. Apresentação: Fardo com 64 rolos.</t>
    </r>
  </si>
  <si>
    <r>
      <t xml:space="preserve">PAPEL TOALHA INTERFOLHADO - </t>
    </r>
    <r>
      <rPr>
        <sz val="10"/>
        <rFont val="Arial"/>
        <family val="2"/>
      </rPr>
      <t>Toalha de papel, material: 100% fibra celulose virgem, tipo folha: interfolha, 2 dobras, dimenções aproximadas: 22 cm, largura: 21,50 cm, cor: branca, características adicionais: gofrado, gramatura: 23 g/m². Apresentação: fardo com 1000 folhas</t>
    </r>
  </si>
  <si>
    <r>
      <t xml:space="preserve">PICARETA CHIBANCA - </t>
    </r>
    <r>
      <rPr>
        <sz val="10"/>
        <rFont val="Arial"/>
        <family val="2"/>
      </rPr>
      <t>em Aço Tamanho 4 com Cabo de Madeira 90 cm</t>
    </r>
  </si>
  <si>
    <r>
      <t xml:space="preserve">PULVERIZADOR COSTAL MANUAL 20 L - </t>
    </r>
    <r>
      <rPr>
        <sz val="10"/>
        <rFont val="Arial"/>
        <family val="2"/>
      </rPr>
      <t xml:space="preserve">Sistema de acionamento do pulverizador: Alavanca; Sistema de compressão do pulverizador: Compressão prévia;  Capacidade do reservatório do pulverizador: 20 L </t>
    </r>
  </si>
  <si>
    <r>
      <t xml:space="preserve">QUEROSENE - </t>
    </r>
    <r>
      <rPr>
        <sz val="10"/>
        <rFont val="Arial"/>
        <family val="2"/>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1.000 ml.  </t>
    </r>
  </si>
  <si>
    <r>
      <t>Rastelo para grama jardim  com cerdas de aço e cabo madeira 1,20mts ideal para varrer folhas e resíduos no jardim.</t>
    </r>
    <r>
      <rPr>
        <sz val="10"/>
        <rFont val="Arial"/>
        <family val="2"/>
      </rPr>
      <t xml:space="preserve"> Hastes flexíveis de alta resistência  cabo com madeira. Cerda em aço comprimento total: 1,55 metros. Comprimento do cabo: 1,20metros. Comprimento cerdas: 12 centímetros</t>
    </r>
  </si>
  <si>
    <r>
      <t>Rastelo para grama jardim com cerdas de plástico e cabo madeira 1,20mts</t>
    </r>
    <r>
      <rPr>
        <sz val="10"/>
        <rFont val="Arial"/>
        <family val="2"/>
      </rPr>
      <t xml:space="preserve"> ideal para varrer folhas e resíduos no jardim. Hastes flexíveis de alta resistência cabo com madeira. Cerda em aço comprimento total: 1,55 metros. Comprimento do cabo: 1,20metros. Comprimento cerdas: 12 centímetros</t>
    </r>
  </si>
  <si>
    <r>
      <t>REFIL MOP PÓ -</t>
    </r>
    <r>
      <rPr>
        <sz val="10"/>
        <rFont val="Arial"/>
        <family val="2"/>
      </rPr>
      <t xml:space="preserve"> Refil Mop Pó, composto por fios 100 % acrílicos, dimenções: 60 x 15 cm, sistema de fechamento por laços.</t>
    </r>
  </si>
  <si>
    <r>
      <t xml:space="preserve">REFÍL MOP ÚMIDO - </t>
    </r>
    <r>
      <rPr>
        <sz val="10"/>
        <rFont val="Arial"/>
        <family val="2"/>
      </rPr>
      <t>Refil para mop esfregão úmido ponta dobrada, composição: 70% de algodão e 30% de poliéster, Ponta dobrada em loop 340g.</t>
    </r>
  </si>
  <si>
    <r>
      <t xml:space="preserve">RODO 40 CM - </t>
    </r>
    <r>
      <rPr>
        <sz val="10"/>
        <rFont val="Arial"/>
        <family val="2"/>
      </rPr>
      <t>Rodo, material cabo: alumínio, material suporte: alumínio, comprimento suporte: 40 cm, quantidade borrachas: 2 und.</t>
    </r>
  </si>
  <si>
    <r>
      <t>RODO 70 CM -</t>
    </r>
    <r>
      <rPr>
        <sz val="10"/>
        <rFont val="Arial"/>
        <family val="2"/>
      </rPr>
      <t xml:space="preserve"> Rodo, material cabo: alumínio, material suporte: alumínio, comprimento suporte: 70 cm, quantidade borrachas: 2 un, características adicionais: cabo com rosca</t>
    </r>
  </si>
  <si>
    <r>
      <t>RODO PARA VIDRO -</t>
    </r>
    <r>
      <rPr>
        <sz val="10"/>
        <rFont val="Arial"/>
        <family val="2"/>
      </rPr>
      <t xml:space="preserve"> Rodo para limpeza de vidros, do tipo mop, com cabo extensor de alumínio (medindo aproximadamente 1,40 m), com base para limpar vidro (com luva própria de um lado e rodo do outro), medindo aproximadamente 40 cm. </t>
    </r>
  </si>
  <si>
    <r>
      <t>SABÃO EM BARRA -</t>
    </r>
    <r>
      <rPr>
        <sz val="10"/>
        <rFont val="Arial"/>
        <family val="2"/>
      </rPr>
      <t xml:space="preserve"> Sabão barra, composição básica: sais + ácido graxo, tipo: com alvejante, características adicionais: neutro, peso: 200 g, formato: retangular. Apresentação: Embalagem com 5 unidades.</t>
    </r>
  </si>
  <si>
    <r>
      <t>SABÃO EM PÓ -</t>
    </r>
    <r>
      <rPr>
        <sz val="10"/>
        <rFont val="Arial"/>
        <family val="2"/>
      </rPr>
      <t xml:space="preserve"> Sabão em pó, aplicação: limpeza geral, aspecto físico: pó, características adicionais: biodegradável. Apresentação: Embalagem com 5,0 kg.</t>
    </r>
  </si>
  <si>
    <r>
      <t>SABONETE LÍQUIDO NEUTRO</t>
    </r>
    <r>
      <rPr>
        <sz val="10"/>
        <rFont val="Arial"/>
        <family val="2"/>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</si>
  <si>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t>SACO PARA LIXO 100 L</t>
    </r>
    <r>
      <rPr>
        <sz val="10"/>
        <rFont val="Arial"/>
        <family val="2"/>
      </rPr>
      <t xml:space="preserve"> - Saco plástico lixo, capacidade: 100 l, cor: preta, aplicação: coleta de lixo, material: polietileno. Apresentação: Embalagem com 100 unidades.</t>
    </r>
  </si>
  <si>
    <r>
      <t xml:space="preserve">SACO PARA LIXO 200 L - </t>
    </r>
    <r>
      <rPr>
        <sz val="10"/>
        <rFont val="Arial"/>
        <family val="2"/>
      </rPr>
      <t>Saco plástico lixo, capacidade: 200 l, cor: preta, circunferência: 90 cm (abertura total), altura: 115 cm, espessura 15 micra (parede dupla) aplicação: coleta de lixo, material: polietileno. Apresentação: Embalagem com 100 unidades.</t>
    </r>
  </si>
  <si>
    <r>
      <t xml:space="preserve">SACO PARA LIXO 40 L - </t>
    </r>
    <r>
      <rPr>
        <sz val="10"/>
        <rFont val="Arial"/>
        <family val="2"/>
      </rPr>
      <t>Saco plástico lixo, capacidade: 40 l, cor: preta, aplicação: coleta de lixo, material: polietileno. Apresentação: Embalagem com 100 unidades.</t>
    </r>
  </si>
  <si>
    <r>
      <t>SACO PARA LIXO 60 L</t>
    </r>
    <r>
      <rPr>
        <sz val="10"/>
        <rFont val="Arial"/>
        <family val="2"/>
      </rPr>
      <t xml:space="preserve"> - Saco plástico lixo, capacidade: 60 l, cor: preta, aplicação: coleta de lixo, material: polietileno. Apresentação: Embalagem com 100 unidades.</t>
    </r>
  </si>
  <si>
    <r>
      <t xml:space="preserve">SAPONÁCEO - </t>
    </r>
    <r>
      <rPr>
        <sz val="10"/>
        <rFont val="Arial"/>
        <family val="2"/>
      </rPr>
      <t>composição tensoativos aniônicos, alcalinizantes, espessante, aplicação limpeza, aspecto físico cremoso. Embalagem com 500 G.</t>
    </r>
  </si>
  <si>
    <r>
      <t xml:space="preserve">SODA CÁUSTICA - </t>
    </r>
    <r>
      <rPr>
        <sz val="10"/>
        <rFont val="Arial"/>
        <family val="2"/>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</si>
  <si>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t xml:space="preserve">Tesoura de grama: </t>
    </r>
    <r>
      <rPr>
        <sz val="10"/>
        <rFont val="Arial"/>
        <family val="2"/>
      </rPr>
      <t>possui lâmina de aço que proporciona alta resistência e cabo metálico tubular com empunhadura emborrachada, conferindo maior conforto durante o manuseio. Altura: 55 cm / largura: 20 cm (cabos)</t>
    </r>
  </si>
  <si>
    <r>
      <t xml:space="preserve">TESOURÃO CABO TELESCÓPICO - </t>
    </r>
    <r>
      <rPr>
        <sz val="10"/>
        <rFont val="Arial"/>
        <family val="2"/>
      </rPr>
      <t>Aplicação: poda de árvore; lâmina em aço carbono teflonado; cabo telescópico facilmente ajustável; empunhadura ergonômica em plástico aderente.</t>
    </r>
  </si>
  <si>
    <r>
      <t xml:space="preserve">VASSOURA DE TETO VASCULHO - </t>
    </r>
    <r>
      <rPr>
        <sz val="10"/>
        <rFont val="Arial"/>
        <family val="2"/>
      </rPr>
      <t>Vassoura, material cerdas: sisal, material cabo: madeira, tipo: vasculho, aplicação: limpeza teto, comprimento cabo: 170 cm</t>
    </r>
  </si>
  <si>
    <r>
      <t>VASSOURA PÊLO SINTÉTICA</t>
    </r>
    <r>
      <rPr>
        <sz val="10"/>
        <rFont val="Arial"/>
        <family val="2"/>
      </rPr>
      <t xml:space="preserve"> 30</t>
    </r>
    <r>
      <rPr>
        <b/>
        <sz val="10"/>
        <rFont val="Arial"/>
        <family val="2"/>
      </rPr>
      <t xml:space="preserve"> CM </t>
    </r>
    <r>
      <rPr>
        <sz val="10"/>
        <rFont val="Arial"/>
        <family val="2"/>
      </rPr>
      <t>-  Vassoura, material cerdas: pêlo sintético, material cepa: polipropileno, comprimento cepa: 30 cm, características adicionais: cabo de madeira plastificada, diâmetro cepa: Dimensões do item C x L x A 31.5 x 19 x 6.5 centímetros.</t>
    </r>
  </si>
  <si>
    <r>
      <t xml:space="preserve">VASSOURA PÊLO SINTÉTICA 60 CM </t>
    </r>
    <r>
      <rPr>
        <sz val="10"/>
        <rFont val="Arial"/>
        <family val="2"/>
      </rPr>
      <t>- Vassoura, material cerdas: pêlo sintético, comprimento cepa: 60 cm, características adicionais: cabo plastificado: 1,20 m; cerdas: 4,50 cm</t>
    </r>
  </si>
  <si>
    <r>
      <t>VASSOURA PIAÇAVA -</t>
    </r>
    <r>
      <rPr>
        <sz val="10"/>
        <rFont val="Arial"/>
        <family val="2"/>
      </rPr>
      <t>Vassoura, material cerdas: piaçava, material cabo: madeira, material cepa: madeira, tipo: leque, aplicação: limpeza.</t>
    </r>
  </si>
  <si>
    <r>
      <t>VASSOURA SANITÁRIA -</t>
    </r>
    <r>
      <rPr>
        <sz val="10"/>
        <rFont val="Arial"/>
        <family val="2"/>
      </rPr>
      <t xml:space="preserve"> Vassoura sanitária, em polipropileno, resistente, com cerdas em nylon, para uso interno em vaso sanitário, formato arredondado, na cor branca, medindo aproximadamente 14 x 42 cm. </t>
    </r>
    <r>
      <rPr>
        <b/>
        <sz val="10"/>
        <rFont val="Arial"/>
        <family val="2"/>
      </rPr>
      <t xml:space="preserve">
</t>
    </r>
  </si>
  <si>
    <r>
      <rPr>
        <b/>
        <sz val="10"/>
        <rFont val="Arial"/>
        <family val="2"/>
      </rPr>
      <t>ASPIRADOR DE PÓ</t>
    </r>
    <r>
      <rPr>
        <sz val="10"/>
        <rFont val="Arial"/>
        <family val="2"/>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</si>
  <si>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rFont val="Arial"/>
        <family val="2"/>
      </rPr>
      <t>ENCERADEIRA ROTATIVA</t>
    </r>
    <r>
      <rPr>
        <sz val="10"/>
        <rFont val="Arial"/>
        <family val="2"/>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</si>
  <si>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t xml:space="preserve">MÁQUINA DE LAVAR A JATO - </t>
    </r>
    <r>
      <rPr>
        <sz val="10"/>
        <rFont val="Arial"/>
        <family val="2"/>
      </rPr>
      <t>Máquina de lavar à jato (alta pressão) com potência de no mínimo 1.450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</si>
  <si>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rFont val="Arial"/>
        <family val="2"/>
      </rPr>
      <t>CARRINHO LIMPEZA MULTIFUNÇÃO -</t>
    </r>
    <r>
      <rPr>
        <sz val="10"/>
        <rFont val="Arial"/>
        <family val="2"/>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</si>
  <si>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r>
      <t xml:space="preserve">CORTADOR DE GRAMA ELÉTRICO - </t>
    </r>
    <r>
      <rPr>
        <sz val="10"/>
        <rFont val="Arial"/>
        <family val="2"/>
      </rPr>
      <t>com saída lateral rendimento aproximado de 800m²/h rodas de termoplástico com bucha sinterizada, base em chapa de aço de 1,9mm de espessuratamanho das rodas: dianteiras - 203 mm / traseiras - 305 mm lâmina em aço especial, de 3mm de espessura, com têmperatura por indução no fio de corte rotação: 60hz voltagem: 220v potência: 2500w motor: monofásico rotação 3600 rpm faixa de corte: 48cm</t>
    </r>
  </si>
  <si>
    <t>02/2023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</si>
</sst>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4" formatCode="_-&quot;R$&quot;\ * #,##0.00_-;\-&quot;R$&quot;\ * #,##0.00_-;_-&quot;R$&quot;\ * &quot;-&quot;??_-;_-@_-"/>
    <numFmt numFmtId="164" formatCode="0.00000_ "/>
    <numFmt numFmtId="165" formatCode="&quot;R$&quot;\ #,##0.00"/>
    <numFmt numFmtId="166" formatCode="0.00_ "/>
    <numFmt numFmtId="167" formatCode="0.0000_ "/>
    <numFmt numFmtId="168" formatCode="0_ "/>
    <numFmt numFmtId="169" formatCode="&quot;R$&quot;\ #,##0.00_);[Red]\(&quot;R$&quot;\ #,##0.00\)"/>
    <numFmt numFmtId="170" formatCode="&quot;R$ &quot;#,##0.00"/>
    <numFmt numFmtId="171" formatCode="&quot;R$&quot;#,##0.00_);[Red]&quot;(R$&quot;#,##0.00\)"/>
    <numFmt numFmtId="172" formatCode="&quot;R$&quot;#,##0.00"/>
    <numFmt numFmtId="173" formatCode="&quot;R$&quot;\ #,##0.0000"/>
    <numFmt numFmtId="174" formatCode="_-&quot;R$&quot;\ * #,##0.0000_-;\-&quot;R$&quot;\ * #,##0.0000_-;_-&quot;R$&quot;\ * &quot;-&quot;??_-;_-@_-"/>
  </numFmts>
  <fonts count="39" x14ac:knownFonts="1">
    <font>
      <sz val="11"/>
      <color theme="1"/>
      <name val="Calibri"/>
      <family val="2"/>
      <scheme val="minor"/>
    </font>
    <font>
      <b/>
      <sz val="11"/>
      <color indexed="8"/>
      <name val="Arial"/>
      <family val="2"/>
    </font>
    <font>
      <sz val="11"/>
      <color indexed="8"/>
      <name val="Calibri"/>
      <family val="2"/>
    </font>
    <font>
      <sz val="10"/>
      <name val="Arial"/>
      <family val="2"/>
    </font>
    <font>
      <sz val="11"/>
      <name val="Calibri"/>
      <family val="2"/>
    </font>
    <font>
      <sz val="11"/>
      <color indexed="8"/>
      <name val="Calibri"/>
      <family val="2"/>
    </font>
    <font>
      <sz val="10"/>
      <color indexed="8"/>
      <name val="Calibri"/>
      <family val="2"/>
    </font>
    <font>
      <b/>
      <sz val="9"/>
      <name val="Tahoma"/>
      <family val="2"/>
    </font>
    <font>
      <sz val="9"/>
      <name val="Tahoma"/>
      <family val="2"/>
    </font>
    <font>
      <sz val="11"/>
      <color theme="1"/>
      <name val="Calibri"/>
      <family val="2"/>
      <scheme val="minor"/>
    </font>
    <font>
      <sz val="11"/>
      <color theme="0"/>
      <name val="Calibri"/>
      <family val="2"/>
      <scheme val="minor"/>
    </font>
    <font>
      <b/>
      <sz val="11"/>
      <color theme="1"/>
      <name val="Calibri"/>
      <family val="2"/>
      <scheme val="minor"/>
    </font>
    <font>
      <b/>
      <sz val="11"/>
      <color theme="1"/>
      <name val="Arial"/>
      <family val="2"/>
    </font>
    <font>
      <sz val="11"/>
      <color theme="1"/>
      <name val="Arial"/>
      <family val="2"/>
    </font>
    <font>
      <b/>
      <i/>
      <sz val="11"/>
      <color theme="1"/>
      <name val="Arial"/>
      <family val="2"/>
    </font>
    <font>
      <b/>
      <sz val="11"/>
      <color theme="0"/>
      <name val="Calibri"/>
      <family val="2"/>
    </font>
    <font>
      <sz val="11"/>
      <color rgb="FF000000"/>
      <name val="Calibri"/>
      <family val="2"/>
    </font>
    <font>
      <sz val="11"/>
      <color theme="1"/>
      <name val="Calibri"/>
      <family val="2"/>
    </font>
    <font>
      <b/>
      <sz val="11"/>
      <color theme="0"/>
      <name val="Calibri"/>
      <family val="2"/>
      <scheme val="minor"/>
    </font>
    <font>
      <sz val="11"/>
      <name val="Calibri"/>
      <family val="2"/>
      <scheme val="minor"/>
    </font>
    <font>
      <b/>
      <sz val="10"/>
      <color theme="1"/>
      <name val="Arial"/>
      <family val="2"/>
    </font>
    <font>
      <b/>
      <i/>
      <sz val="11"/>
      <color theme="0"/>
      <name val="Calibri"/>
      <family val="2"/>
      <scheme val="minor"/>
    </font>
    <font>
      <sz val="10"/>
      <color theme="1"/>
      <name val="Arial"/>
      <family val="2"/>
    </font>
    <font>
      <b/>
      <sz val="10"/>
      <color theme="0"/>
      <name val="Arial"/>
      <family val="2"/>
    </font>
    <font>
      <b/>
      <i/>
      <sz val="10"/>
      <color theme="0"/>
      <name val="Arial"/>
      <family val="2"/>
    </font>
    <font>
      <sz val="10"/>
      <color theme="0"/>
      <name val="Arial"/>
      <family val="2"/>
    </font>
    <font>
      <b/>
      <sz val="14"/>
      <color rgb="FFFFFFFF"/>
      <name val="Calibri"/>
      <family val="2"/>
    </font>
    <font>
      <b/>
      <sz val="11"/>
      <color rgb="FF000000"/>
      <name val="Calibri"/>
      <family val="2"/>
    </font>
    <font>
      <b/>
      <sz val="11"/>
      <color rgb="FFFFFFFF"/>
      <name val="Calibri"/>
      <family val="2"/>
    </font>
    <font>
      <sz val="11"/>
      <color theme="0"/>
      <name val="Calibri"/>
      <family val="2"/>
    </font>
    <font>
      <sz val="11"/>
      <color rgb="FFF4B183"/>
      <name val="Calibri"/>
      <family val="2"/>
    </font>
    <font>
      <sz val="11"/>
      <color rgb="FFFFFFFF"/>
      <name val="Calibri"/>
      <family val="2"/>
    </font>
    <font>
      <b/>
      <sz val="14"/>
      <color theme="1"/>
      <name val="Calibri"/>
      <family val="2"/>
      <scheme val="minor"/>
    </font>
    <font>
      <sz val="12"/>
      <color theme="1"/>
      <name val="Times New Roman"/>
      <family val="1"/>
    </font>
    <font>
      <i/>
      <sz val="12"/>
      <color theme="1"/>
      <name val="Times New Roman"/>
      <family val="1"/>
    </font>
    <font>
      <b/>
      <sz val="12"/>
      <name val="Times New Roman"/>
      <family val="1"/>
    </font>
    <font>
      <b/>
      <sz val="12"/>
      <color theme="1"/>
      <name val="Times New Roman"/>
      <family val="1"/>
    </font>
    <font>
      <b/>
      <u/>
      <sz val="11"/>
      <name val="Calibri"/>
      <family val="2"/>
    </font>
    <font>
      <b/>
      <sz val="10"/>
      <name val="Arial"/>
      <family val="2"/>
    </font>
  </fonts>
  <fills count="23">
    <fill>
      <patternFill patternType="none"/>
    </fill>
    <fill>
      <patternFill patternType="gray125"/>
    </fill>
    <fill>
      <patternFill patternType="solid">
        <fgColor theme="9"/>
        <bgColor indexed="64"/>
      </patternFill>
    </fill>
    <fill>
      <patternFill patternType="solid">
        <fgColor theme="5" tint="0.39994506668294322"/>
        <bgColor indexed="64"/>
      </patternFill>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5" tint="0.39991454817346722"/>
        <bgColor indexed="64"/>
      </patternFill>
    </fill>
    <fill>
      <patternFill patternType="solid">
        <fgColor theme="9" tint="0.79995117038483843"/>
        <bgColor theme="9" tint="0.79995117038483843"/>
      </patternFill>
    </fill>
    <fill>
      <patternFill patternType="solid">
        <fgColor theme="9" tint="0.79998168889431442"/>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39997558519241921"/>
        <bgColor indexed="64"/>
      </patternFill>
    </fill>
    <fill>
      <patternFill patternType="solid">
        <fgColor theme="9" tint="0.79998168889431442"/>
        <bgColor theme="9" tint="0.59999389629810485"/>
      </patternFill>
    </fill>
    <fill>
      <patternFill patternType="solid">
        <fgColor theme="9" tint="0.59999389629810485"/>
        <bgColor theme="9" tint="0.79995117038483843"/>
      </patternFill>
    </fill>
    <fill>
      <patternFill patternType="solid">
        <fgColor theme="0"/>
        <bgColor indexed="64"/>
      </patternFill>
    </fill>
    <fill>
      <patternFill patternType="solid">
        <fgColor theme="9" tint="0.59999389629810485"/>
        <bgColor indexed="64"/>
      </patternFill>
    </fill>
    <fill>
      <patternFill patternType="solid">
        <fgColor theme="0"/>
        <bgColor rgb="FFF2F2F2"/>
      </patternFill>
    </fill>
    <fill>
      <patternFill patternType="solid">
        <fgColor theme="0"/>
        <bgColor rgb="FFFF99CC"/>
      </patternFill>
    </fill>
    <fill>
      <patternFill patternType="solid">
        <fgColor rgb="FFFFFF00"/>
        <bgColor rgb="FFFF99CC"/>
      </patternFill>
    </fill>
  </fills>
  <borders count="33">
    <border>
      <left/>
      <right/>
      <top/>
      <bottom/>
      <diagonal/>
    </border>
    <border>
      <left style="thin">
        <color indexed="64"/>
      </left>
      <right style="thin">
        <color indexed="64"/>
      </right>
      <top style="thin">
        <color indexed="64"/>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bottom style="thick">
        <color theme="0"/>
      </bottom>
      <diagonal/>
    </border>
    <border>
      <left style="thin">
        <color theme="0"/>
      </left>
      <right style="thin">
        <color indexed="64"/>
      </right>
      <top style="thin">
        <color theme="0"/>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diagonal/>
    </border>
    <border>
      <left style="thin">
        <color theme="0"/>
      </left>
      <right/>
      <top style="thin">
        <color theme="0"/>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right/>
      <top style="thick">
        <color theme="0"/>
      </top>
      <bottom style="thin">
        <color theme="0"/>
      </bottom>
      <diagonal/>
    </border>
    <border>
      <left/>
      <right/>
      <top style="thin">
        <color theme="0"/>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FFFFFF"/>
      </left>
      <right/>
      <top/>
      <bottom/>
      <diagonal/>
    </border>
  </borders>
  <cellStyleXfs count="4">
    <xf numFmtId="0" fontId="0" fillId="0" borderId="0"/>
    <xf numFmtId="9" fontId="9" fillId="0" borderId="0" applyFont="0" applyFill="0" applyBorder="0" applyAlignment="0" applyProtection="0"/>
    <xf numFmtId="44" fontId="9" fillId="0" borderId="0" applyFont="0" applyFill="0" applyBorder="0" applyAlignment="0" applyProtection="0"/>
    <xf numFmtId="0" fontId="5" fillId="0" borderId="0"/>
  </cellStyleXfs>
  <cellXfs count="27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64" fontId="0" fillId="0" borderId="0" xfId="0" applyNumberFormat="1" applyAlignment="1">
      <alignment horizontal="center"/>
    </xf>
    <xf numFmtId="165" fontId="0" fillId="0" borderId="0" xfId="0" applyNumberFormat="1" applyAlignment="1">
      <alignment horizontal="center" vertical="center"/>
    </xf>
    <xf numFmtId="0" fontId="0" fillId="0" borderId="0" xfId="0" applyAlignment="1">
      <alignment horizontal="left"/>
    </xf>
    <xf numFmtId="165" fontId="0" fillId="0" borderId="0" xfId="0" applyNumberFormat="1"/>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6" fillId="5" borderId="4" xfId="0" applyFont="1" applyFill="1" applyBorder="1" applyAlignment="1">
      <alignment vertical="center"/>
    </xf>
    <xf numFmtId="0" fontId="17" fillId="5" borderId="5" xfId="0" applyFont="1" applyFill="1" applyBorder="1" applyAlignment="1">
      <alignment vertical="center" wrapText="1"/>
    </xf>
    <xf numFmtId="0" fontId="0" fillId="5" borderId="5" xfId="0" applyFont="1" applyFill="1" applyBorder="1" applyAlignment="1">
      <alignment horizontal="center" vertical="center"/>
    </xf>
    <xf numFmtId="0" fontId="17" fillId="5" borderId="5" xfId="0" applyFont="1" applyFill="1" applyBorder="1" applyAlignment="1">
      <alignment horizontal="center" vertical="center"/>
    </xf>
    <xf numFmtId="0" fontId="16" fillId="6" borderId="6" xfId="0" applyFont="1" applyFill="1" applyBorder="1" applyAlignment="1">
      <alignment vertical="center"/>
    </xf>
    <xf numFmtId="0" fontId="17" fillId="6" borderId="7" xfId="0" applyFont="1" applyFill="1" applyBorder="1" applyAlignment="1">
      <alignment vertical="center" wrapText="1"/>
    </xf>
    <xf numFmtId="0" fontId="0" fillId="6" borderId="7" xfId="0" applyFont="1" applyFill="1" applyBorder="1" applyAlignment="1">
      <alignment horizontal="center" vertical="center"/>
    </xf>
    <xf numFmtId="0" fontId="17" fillId="6" borderId="7" xfId="0" applyFont="1" applyFill="1" applyBorder="1" applyAlignment="1">
      <alignment horizontal="center" vertical="center"/>
    </xf>
    <xf numFmtId="0" fontId="16" fillId="5" borderId="6" xfId="0" applyFont="1" applyFill="1" applyBorder="1" applyAlignment="1">
      <alignment vertical="center"/>
    </xf>
    <xf numFmtId="0" fontId="17" fillId="5" borderId="7" xfId="0" applyFont="1" applyFill="1" applyBorder="1" applyAlignment="1">
      <alignment vertical="center" wrapText="1"/>
    </xf>
    <xf numFmtId="0" fontId="0" fillId="5" borderId="7" xfId="0" applyFont="1" applyFill="1" applyBorder="1" applyAlignment="1">
      <alignment horizontal="center" vertical="center"/>
    </xf>
    <xf numFmtId="0" fontId="17" fillId="5" borderId="7" xfId="0" applyFont="1" applyFill="1" applyBorder="1" applyAlignment="1">
      <alignment horizontal="center" vertical="center"/>
    </xf>
    <xf numFmtId="0" fontId="16" fillId="5" borderId="7" xfId="0" applyFont="1" applyFill="1" applyBorder="1" applyAlignment="1">
      <alignment vertical="center" wrapText="1"/>
    </xf>
    <xf numFmtId="0" fontId="16" fillId="5" borderId="7" xfId="0" applyFont="1" applyFill="1" applyBorder="1" applyAlignment="1">
      <alignment horizontal="center" vertical="center"/>
    </xf>
    <xf numFmtId="0" fontId="17" fillId="3" borderId="5" xfId="0" applyFont="1" applyFill="1" applyBorder="1" applyAlignment="1">
      <alignment horizontal="center" vertical="center"/>
    </xf>
    <xf numFmtId="164" fontId="17" fillId="5" borderId="5" xfId="0" applyNumberFormat="1" applyFont="1" applyFill="1" applyBorder="1" applyAlignment="1">
      <alignment horizontal="center" vertical="center"/>
    </xf>
    <xf numFmtId="166" fontId="15" fillId="4" borderId="3" xfId="0" applyNumberFormat="1" applyFont="1" applyFill="1" applyBorder="1" applyAlignment="1">
      <alignment horizontal="center" vertical="center" wrapText="1"/>
    </xf>
    <xf numFmtId="164" fontId="17" fillId="6" borderId="7" xfId="0" applyNumberFormat="1" applyFont="1" applyFill="1" applyBorder="1" applyAlignment="1">
      <alignment horizontal="center" vertical="center"/>
    </xf>
    <xf numFmtId="164" fontId="17" fillId="5" borderId="7" xfId="0" applyNumberFormat="1" applyFont="1" applyFill="1" applyBorder="1" applyAlignment="1">
      <alignment horizontal="center" vertical="center"/>
    </xf>
    <xf numFmtId="167" fontId="15" fillId="4" borderId="2" xfId="0" applyNumberFormat="1" applyFont="1" applyFill="1" applyBorder="1" applyAlignment="1">
      <alignment horizontal="center" vertical="center" wrapText="1"/>
    </xf>
    <xf numFmtId="168" fontId="15" fillId="4" borderId="2" xfId="0" applyNumberFormat="1"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0" fillId="5" borderId="4" xfId="0" applyNumberFormat="1" applyFont="1" applyFill="1" applyBorder="1" applyAlignment="1">
      <alignment horizontal="center" vertical="center"/>
    </xf>
    <xf numFmtId="0" fontId="0" fillId="5" borderId="5" xfId="0" applyFont="1" applyFill="1" applyBorder="1" applyAlignment="1">
      <alignment horizontal="center" vertical="center" wrapText="1"/>
    </xf>
    <xf numFmtId="165" fontId="19" fillId="7" borderId="5" xfId="0" applyNumberFormat="1" applyFont="1" applyFill="1" applyBorder="1" applyAlignment="1">
      <alignment horizontal="center" vertical="center"/>
    </xf>
    <xf numFmtId="0" fontId="0" fillId="8" borderId="6" xfId="0" applyNumberFormat="1" applyFont="1" applyFill="1" applyBorder="1" applyAlignment="1">
      <alignment horizontal="center" vertical="center"/>
    </xf>
    <xf numFmtId="0" fontId="0" fillId="8" borderId="6" xfId="0" applyNumberFormat="1" applyFont="1" applyFill="1" applyBorder="1" applyAlignment="1">
      <alignment horizontal="justify" vertical="center"/>
    </xf>
    <xf numFmtId="0" fontId="0" fillId="8" borderId="7" xfId="0" applyFont="1" applyFill="1" applyBorder="1" applyAlignment="1">
      <alignment horizontal="center" vertical="center" wrapText="1"/>
    </xf>
    <xf numFmtId="165" fontId="19" fillId="7" borderId="7" xfId="0" applyNumberFormat="1" applyFont="1" applyFill="1" applyBorder="1" applyAlignment="1">
      <alignment horizontal="center" vertical="center"/>
    </xf>
    <xf numFmtId="169" fontId="18" fillId="2" borderId="9" xfId="0" applyNumberFormat="1" applyFont="1" applyFill="1" applyBorder="1" applyAlignment="1">
      <alignment horizontal="center"/>
    </xf>
    <xf numFmtId="165" fontId="18" fillId="2" borderId="12" xfId="0" applyNumberFormat="1" applyFont="1" applyFill="1" applyBorder="1" applyAlignment="1">
      <alignment horizontal="center"/>
    </xf>
    <xf numFmtId="165" fontId="18" fillId="2" borderId="7" xfId="0" applyNumberFormat="1" applyFont="1" applyFill="1" applyBorder="1" applyAlignment="1">
      <alignment horizontal="center"/>
    </xf>
    <xf numFmtId="0" fontId="0" fillId="5" borderId="4" xfId="0" applyNumberFormat="1" applyFont="1" applyFill="1" applyBorder="1" applyAlignment="1">
      <alignment horizontal="justify" vertical="center" wrapText="1"/>
    </xf>
    <xf numFmtId="44" fontId="9" fillId="5" borderId="13" xfId="2" applyNumberFormat="1" applyFont="1" applyFill="1" applyBorder="1" applyAlignment="1">
      <alignment horizontal="center" vertical="center"/>
    </xf>
    <xf numFmtId="0" fontId="0" fillId="8" borderId="6" xfId="0" applyNumberFormat="1" applyFont="1" applyFill="1" applyBorder="1" applyAlignment="1">
      <alignment horizontal="justify" vertical="center" wrapText="1"/>
    </xf>
    <xf numFmtId="44" fontId="9" fillId="8" borderId="7" xfId="2" applyNumberFormat="1" applyFont="1" applyFill="1" applyBorder="1" applyAlignment="1">
      <alignment horizontal="center" vertical="center" wrapText="1"/>
    </xf>
    <xf numFmtId="169" fontId="18" fillId="4" borderId="5" xfId="0" applyNumberFormat="1" applyFont="1" applyFill="1" applyBorder="1" applyAlignment="1">
      <alignment horizontal="center" vertical="center"/>
    </xf>
    <xf numFmtId="0" fontId="0" fillId="2" borderId="14" xfId="0" applyFont="1" applyFill="1" applyBorder="1" applyAlignment="1">
      <alignment horizontal="center"/>
    </xf>
    <xf numFmtId="169" fontId="21" fillId="2" borderId="15" xfId="0" applyNumberFormat="1" applyFont="1" applyFill="1" applyBorder="1" applyAlignment="1">
      <alignment horizontal="center" vertical="center"/>
    </xf>
    <xf numFmtId="0" fontId="0" fillId="8" borderId="6" xfId="0" applyNumberFormat="1" applyFont="1" applyFill="1" applyBorder="1" applyAlignment="1">
      <alignment horizontal="center" vertical="center" wrapText="1"/>
    </xf>
    <xf numFmtId="44" fontId="9" fillId="8" borderId="6" xfId="2" applyNumberFormat="1" applyFont="1" applyFill="1" applyBorder="1" applyAlignment="1">
      <alignment horizontal="center" vertical="center" wrapText="1"/>
    </xf>
    <xf numFmtId="0" fontId="22" fillId="0" borderId="0" xfId="0" applyFont="1" applyAlignment="1">
      <alignment horizontal="center" vertical="center" wrapText="1"/>
    </xf>
    <xf numFmtId="0" fontId="16" fillId="0" borderId="0" xfId="0" applyFont="1" applyFill="1" applyBorder="1" applyAlignment="1"/>
    <xf numFmtId="0" fontId="27" fillId="0" borderId="0" xfId="0" applyFont="1" applyFill="1" applyBorder="1" applyAlignment="1">
      <alignment horizontal="left" wrapText="1"/>
    </xf>
    <xf numFmtId="0" fontId="16" fillId="0" borderId="0" xfId="0" applyFont="1" applyFill="1" applyBorder="1" applyAlignment="1">
      <alignment horizontal="left"/>
    </xf>
    <xf numFmtId="0" fontId="16" fillId="0" borderId="0" xfId="0" applyFont="1" applyFill="1" applyBorder="1" applyAlignment="1">
      <alignment horizontal="center"/>
    </xf>
    <xf numFmtId="10" fontId="16" fillId="0" borderId="0" xfId="0" applyNumberFormat="1" applyFont="1" applyFill="1" applyBorder="1" applyAlignment="1"/>
    <xf numFmtId="170" fontId="16" fillId="0" borderId="0" xfId="0" applyNumberFormat="1" applyFont="1" applyFill="1" applyBorder="1" applyAlignment="1">
      <alignment horizontal="center"/>
    </xf>
    <xf numFmtId="10" fontId="16" fillId="0" borderId="0" xfId="0" applyNumberFormat="1" applyFont="1" applyFill="1" applyBorder="1" applyAlignment="1">
      <alignment horizontal="center"/>
    </xf>
    <xf numFmtId="0" fontId="16" fillId="0" borderId="0" xfId="0" applyFont="1" applyFill="1" applyBorder="1" applyAlignment="1">
      <alignment vertical="center"/>
    </xf>
    <xf numFmtId="0" fontId="16" fillId="0" borderId="0" xfId="0" applyFont="1" applyFill="1" applyBorder="1" applyAlignment="1">
      <alignment horizontal="center"/>
    </xf>
    <xf numFmtId="0" fontId="0" fillId="0" borderId="0" xfId="0" applyAlignment="1"/>
    <xf numFmtId="44" fontId="9" fillId="3" borderId="0" xfId="2" applyNumberFormat="1"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65" fontId="0" fillId="0" borderId="0" xfId="0" applyNumberFormat="1" applyAlignment="1">
      <alignment horizontal="center"/>
    </xf>
    <xf numFmtId="10" fontId="9" fillId="3" borderId="0" xfId="1" applyNumberFormat="1" applyFont="1" applyFill="1" applyAlignment="1"/>
    <xf numFmtId="10" fontId="9" fillId="0" borderId="0" xfId="1" applyNumberFormat="1" applyFont="1" applyAlignment="1"/>
    <xf numFmtId="172" fontId="0" fillId="0" borderId="0" xfId="0" applyNumberFormat="1" applyAlignment="1"/>
    <xf numFmtId="0" fontId="11" fillId="0" borderId="0" xfId="0" applyFont="1" applyBorder="1" applyAlignment="1">
      <alignment horizontal="center" vertical="center"/>
    </xf>
    <xf numFmtId="0" fontId="1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wrapText="1"/>
    </xf>
    <xf numFmtId="10" fontId="9" fillId="0" borderId="0" xfId="1" applyNumberFormat="1" applyFont="1" applyAlignment="1">
      <alignment horizontal="center"/>
    </xf>
    <xf numFmtId="10" fontId="0" fillId="0" borderId="0" xfId="0" applyNumberFormat="1" applyAlignment="1">
      <alignment horizontal="center"/>
    </xf>
    <xf numFmtId="165" fontId="0" fillId="0" borderId="0" xfId="0" applyNumberFormat="1" applyAlignment="1">
      <alignment horizontal="center" vertical="center" wrapText="1"/>
    </xf>
    <xf numFmtId="0" fontId="0" fillId="0" borderId="0" xfId="0" applyAlignment="1">
      <alignment vertical="center"/>
    </xf>
    <xf numFmtId="0" fontId="0" fillId="0" borderId="0" xfId="0" applyNumberFormat="1" applyAlignment="1">
      <alignment horizontal="center"/>
    </xf>
    <xf numFmtId="0" fontId="10" fillId="2" borderId="0" xfId="0" applyFont="1" applyFill="1"/>
    <xf numFmtId="165" fontId="10" fillId="2" borderId="0" xfId="0" applyNumberFormat="1" applyFont="1" applyFill="1" applyAlignment="1">
      <alignment horizontal="center"/>
    </xf>
    <xf numFmtId="173" fontId="0" fillId="0" borderId="0" xfId="0" applyNumberFormat="1" applyAlignment="1">
      <alignment horizontal="center" vertical="center"/>
    </xf>
    <xf numFmtId="0" fontId="0" fillId="0" borderId="0" xfId="0" applyAlignment="1">
      <alignment horizontal="center"/>
    </xf>
    <xf numFmtId="44" fontId="0" fillId="0" borderId="0" xfId="0" applyNumberFormat="1"/>
    <xf numFmtId="0" fontId="0" fillId="16" borderId="4" xfId="0" applyNumberFormat="1" applyFont="1" applyFill="1" applyBorder="1" applyAlignment="1">
      <alignment horizontal="center" vertical="center"/>
    </xf>
    <xf numFmtId="0" fontId="0" fillId="16" borderId="4" xfId="0" applyNumberFormat="1" applyFont="1" applyFill="1" applyBorder="1" applyAlignment="1">
      <alignment horizontal="justify" vertical="center" wrapText="1"/>
    </xf>
    <xf numFmtId="0" fontId="0" fillId="16" borderId="5" xfId="0" applyFont="1" applyFill="1" applyBorder="1" applyAlignment="1">
      <alignment horizontal="center" vertical="center" wrapText="1"/>
    </xf>
    <xf numFmtId="44" fontId="9" fillId="16" borderId="13" xfId="2" applyNumberFormat="1" applyFont="1" applyFill="1" applyBorder="1" applyAlignment="1">
      <alignment horizontal="center" vertical="center"/>
    </xf>
    <xf numFmtId="0" fontId="0" fillId="17" borderId="6" xfId="0" applyNumberFormat="1" applyFont="1" applyFill="1" applyBorder="1" applyAlignment="1">
      <alignment horizontal="center" vertical="center"/>
    </xf>
    <xf numFmtId="0" fontId="0" fillId="17" borderId="6" xfId="0" applyNumberFormat="1" applyFont="1" applyFill="1" applyBorder="1" applyAlignment="1">
      <alignment horizontal="justify" vertical="center" wrapText="1"/>
    </xf>
    <xf numFmtId="0" fontId="0" fillId="17" borderId="7" xfId="0" applyFont="1" applyFill="1" applyBorder="1" applyAlignment="1">
      <alignment horizontal="center" vertical="center" wrapText="1"/>
    </xf>
    <xf numFmtId="44" fontId="9" fillId="17" borderId="7" xfId="2" applyNumberFormat="1" applyFont="1" applyFill="1" applyBorder="1" applyAlignment="1">
      <alignment horizontal="center" vertical="center" wrapText="1"/>
    </xf>
    <xf numFmtId="165" fontId="19" fillId="15" borderId="5" xfId="0" applyNumberFormat="1" applyFont="1" applyFill="1" applyBorder="1" applyAlignment="1">
      <alignment horizontal="center" vertical="center"/>
    </xf>
    <xf numFmtId="165" fontId="19" fillId="15" borderId="7" xfId="0" applyNumberFormat="1" applyFont="1" applyFill="1" applyBorder="1" applyAlignment="1">
      <alignment horizontal="center" vertical="center"/>
    </xf>
    <xf numFmtId="0" fontId="0" fillId="17" borderId="6" xfId="0" applyNumberFormat="1" applyFont="1" applyFill="1" applyBorder="1" applyAlignment="1">
      <alignment horizontal="justify" vertical="center"/>
    </xf>
    <xf numFmtId="0" fontId="0" fillId="17" borderId="6" xfId="0" applyNumberFormat="1" applyFont="1" applyFill="1" applyBorder="1" applyAlignment="1">
      <alignment horizontal="center" vertical="center" wrapText="1"/>
    </xf>
    <xf numFmtId="44" fontId="9" fillId="17" borderId="6" xfId="2" applyNumberFormat="1" applyFont="1" applyFill="1" applyBorder="1" applyAlignment="1">
      <alignment horizontal="center" vertical="center" wrapText="1"/>
    </xf>
    <xf numFmtId="0" fontId="0" fillId="18" borderId="0" xfId="0" applyFill="1"/>
    <xf numFmtId="0" fontId="22" fillId="2" borderId="17" xfId="0" applyFont="1" applyFill="1" applyBorder="1" applyAlignment="1">
      <alignment horizontal="center"/>
    </xf>
    <xf numFmtId="0" fontId="22" fillId="2" borderId="17" xfId="0" applyFont="1" applyFill="1" applyBorder="1" applyAlignment="1">
      <alignment horizontal="center" vertical="center"/>
    </xf>
    <xf numFmtId="0" fontId="24" fillId="2" borderId="17" xfId="0" applyFont="1" applyFill="1" applyBorder="1" applyAlignment="1">
      <alignment horizontal="center" vertical="center"/>
    </xf>
    <xf numFmtId="0" fontId="24" fillId="2" borderId="17" xfId="0" applyFont="1" applyFill="1" applyBorder="1" applyAlignment="1">
      <alignment horizontal="center" vertical="center" wrapText="1"/>
    </xf>
    <xf numFmtId="0" fontId="25" fillId="2" borderId="17" xfId="0" applyFont="1" applyFill="1" applyBorder="1"/>
    <xf numFmtId="165" fontId="25" fillId="2" borderId="17" xfId="0" applyNumberFormat="1" applyFont="1" applyFill="1" applyBorder="1" applyAlignment="1">
      <alignment horizontal="center" vertical="center"/>
    </xf>
    <xf numFmtId="169" fontId="24" fillId="2" borderId="17" xfId="0" applyNumberFormat="1" applyFont="1" applyFill="1" applyBorder="1" applyAlignment="1">
      <alignment horizontal="center" vertical="center"/>
    </xf>
    <xf numFmtId="165" fontId="24" fillId="2" borderId="17" xfId="0" applyNumberFormat="1" applyFont="1" applyFill="1" applyBorder="1" applyAlignment="1">
      <alignment horizontal="center" vertical="center"/>
    </xf>
    <xf numFmtId="0" fontId="23" fillId="4" borderId="1" xfId="0" applyFont="1" applyFill="1" applyBorder="1" applyAlignment="1">
      <alignment horizontal="center" vertical="center"/>
    </xf>
    <xf numFmtId="169" fontId="23" fillId="4" borderId="1" xfId="0" applyNumberFormat="1" applyFont="1" applyFill="1" applyBorder="1" applyAlignment="1">
      <alignment horizontal="center" vertical="center"/>
    </xf>
    <xf numFmtId="0" fontId="0" fillId="9" borderId="7" xfId="0" applyFill="1" applyBorder="1"/>
    <xf numFmtId="0" fontId="0" fillId="19" borderId="7" xfId="0" applyFill="1" applyBorder="1"/>
    <xf numFmtId="0" fontId="13" fillId="9" borderId="17" xfId="0" applyFont="1" applyFill="1" applyBorder="1" applyAlignment="1">
      <alignment horizontal="center" vertical="center" wrapText="1"/>
    </xf>
    <xf numFmtId="3" fontId="13" fillId="9" borderId="17" xfId="0" applyNumberFormat="1" applyFont="1" applyFill="1" applyBorder="1" applyAlignment="1">
      <alignment horizontal="center" vertical="center" wrapText="1"/>
    </xf>
    <xf numFmtId="174" fontId="14" fillId="9" borderId="17" xfId="2" applyNumberFormat="1" applyFont="1" applyFill="1" applyBorder="1" applyAlignment="1">
      <alignment horizontal="center" vertical="center" wrapText="1"/>
    </xf>
    <xf numFmtId="0" fontId="13" fillId="19" borderId="17" xfId="0" applyFont="1" applyFill="1" applyBorder="1" applyAlignment="1">
      <alignment horizontal="center" vertical="center" wrapText="1"/>
    </xf>
    <xf numFmtId="3" fontId="13" fillId="19" borderId="17" xfId="0" applyNumberFormat="1" applyFont="1" applyFill="1" applyBorder="1" applyAlignment="1">
      <alignment horizontal="center" vertical="center" wrapText="1"/>
    </xf>
    <xf numFmtId="174" fontId="14" fillId="19" borderId="17" xfId="2" applyNumberFormat="1" applyFont="1" applyFill="1" applyBorder="1" applyAlignment="1">
      <alignment horizontal="center" vertical="center" wrapText="1"/>
    </xf>
    <xf numFmtId="44" fontId="3" fillId="15" borderId="17" xfId="2" applyFont="1" applyFill="1" applyBorder="1" applyAlignment="1">
      <alignment horizontal="center" vertical="center"/>
    </xf>
    <xf numFmtId="0" fontId="33" fillId="9" borderId="17" xfId="0" applyFont="1" applyFill="1" applyBorder="1" applyAlignment="1">
      <alignment horizontal="center" vertical="center"/>
    </xf>
    <xf numFmtId="0" fontId="33" fillId="9" borderId="17" xfId="0" applyFont="1" applyFill="1" applyBorder="1" applyAlignment="1">
      <alignment horizontal="left" vertical="center" wrapText="1"/>
    </xf>
    <xf numFmtId="0" fontId="36" fillId="2" borderId="17" xfId="0" applyFont="1" applyFill="1" applyBorder="1" applyAlignment="1">
      <alignment horizontal="center" vertical="center"/>
    </xf>
    <xf numFmtId="0" fontId="36" fillId="2" borderId="17" xfId="0" applyFont="1" applyFill="1" applyBorder="1" applyAlignment="1">
      <alignment vertical="center"/>
    </xf>
    <xf numFmtId="165" fontId="36" fillId="9" borderId="17" xfId="0" applyNumberFormat="1" applyFont="1" applyFill="1" applyBorder="1" applyAlignment="1">
      <alignment horizontal="center" vertical="center"/>
    </xf>
    <xf numFmtId="0" fontId="16" fillId="0" borderId="22" xfId="0" applyFont="1" applyFill="1" applyBorder="1" applyAlignment="1">
      <alignment horizontal="center"/>
    </xf>
    <xf numFmtId="0" fontId="16" fillId="0" borderId="23" xfId="0" applyFont="1" applyFill="1" applyBorder="1" applyAlignment="1"/>
    <xf numFmtId="0" fontId="16" fillId="0" borderId="23" xfId="0" applyFont="1" applyFill="1" applyBorder="1" applyAlignment="1">
      <alignment horizontal="center"/>
    </xf>
    <xf numFmtId="0" fontId="16" fillId="0" borderId="24" xfId="0" applyFont="1" applyFill="1" applyBorder="1" applyAlignment="1">
      <alignment horizontal="center"/>
    </xf>
    <xf numFmtId="0" fontId="16" fillId="0" borderId="20" xfId="0" applyFont="1" applyFill="1" applyBorder="1" applyAlignment="1">
      <alignment horizontal="center"/>
    </xf>
    <xf numFmtId="0" fontId="16" fillId="0" borderId="17" xfId="0" applyFont="1" applyFill="1" applyBorder="1" applyAlignment="1"/>
    <xf numFmtId="0" fontId="16" fillId="13" borderId="17" xfId="0" applyFont="1" applyFill="1" applyBorder="1" applyAlignment="1">
      <alignment horizontal="center"/>
    </xf>
    <xf numFmtId="0" fontId="16" fillId="13" borderId="21" xfId="0" applyFont="1" applyFill="1" applyBorder="1" applyAlignment="1">
      <alignment horizontal="center"/>
    </xf>
    <xf numFmtId="170" fontId="16" fillId="13" borderId="21" xfId="0" applyNumberFormat="1" applyFont="1" applyFill="1" applyBorder="1" applyAlignment="1">
      <alignment horizontal="center"/>
    </xf>
    <xf numFmtId="0" fontId="16" fillId="0" borderId="25" xfId="0" applyFont="1" applyFill="1" applyBorder="1" applyAlignment="1">
      <alignment horizontal="center"/>
    </xf>
    <xf numFmtId="0" fontId="16" fillId="0" borderId="1" xfId="0" applyFont="1" applyFill="1" applyBorder="1" applyAlignment="1"/>
    <xf numFmtId="49" fontId="16" fillId="13" borderId="26" xfId="0" applyNumberFormat="1" applyFont="1" applyFill="1" applyBorder="1" applyAlignment="1">
      <alignment horizontal="center"/>
    </xf>
    <xf numFmtId="0" fontId="16" fillId="13" borderId="17" xfId="0" applyFont="1" applyFill="1" applyBorder="1" applyAlignment="1">
      <alignment horizontal="center" wrapText="1"/>
    </xf>
    <xf numFmtId="0" fontId="16" fillId="0" borderId="1" xfId="0" applyFont="1" applyFill="1" applyBorder="1" applyAlignment="1">
      <alignment horizontal="center"/>
    </xf>
    <xf numFmtId="170" fontId="16" fillId="0" borderId="26" xfId="0" applyNumberFormat="1" applyFont="1" applyFill="1" applyBorder="1" applyAlignment="1">
      <alignment horizontal="center"/>
    </xf>
    <xf numFmtId="0" fontId="27" fillId="12" borderId="17" xfId="0" applyFont="1" applyFill="1" applyBorder="1" applyAlignment="1">
      <alignment horizontal="left" wrapText="1"/>
    </xf>
    <xf numFmtId="49" fontId="16" fillId="12" borderId="17" xfId="0" applyNumberFormat="1" applyFont="1" applyFill="1" applyBorder="1" applyAlignment="1">
      <alignment horizontal="left"/>
    </xf>
    <xf numFmtId="0" fontId="16" fillId="12" borderId="17" xfId="0" applyFont="1" applyFill="1" applyBorder="1" applyAlignment="1">
      <alignment horizontal="left"/>
    </xf>
    <xf numFmtId="0" fontId="16" fillId="11" borderId="17" xfId="0" applyFont="1" applyFill="1" applyBorder="1" applyAlignment="1">
      <alignment horizontal="center"/>
    </xf>
    <xf numFmtId="0" fontId="16" fillId="11" borderId="17" xfId="0" applyFont="1" applyFill="1" applyBorder="1" applyAlignment="1"/>
    <xf numFmtId="0" fontId="16" fillId="14" borderId="17" xfId="0" applyFont="1" applyFill="1" applyBorder="1" applyAlignment="1">
      <alignment horizontal="center"/>
    </xf>
    <xf numFmtId="0" fontId="16" fillId="14" borderId="17" xfId="0" applyFont="1" applyFill="1" applyBorder="1" applyAlignment="1"/>
    <xf numFmtId="0" fontId="28" fillId="10" borderId="17" xfId="0" applyFont="1" applyFill="1" applyBorder="1" applyAlignment="1">
      <alignment horizontal="center"/>
    </xf>
    <xf numFmtId="0" fontId="16" fillId="21" borderId="30" xfId="0" applyFont="1" applyFill="1" applyBorder="1" applyAlignment="1">
      <alignment horizontal="center"/>
    </xf>
    <xf numFmtId="170" fontId="16" fillId="21" borderId="31" xfId="0" applyNumberFormat="1" applyFont="1" applyFill="1" applyBorder="1" applyAlignment="1">
      <alignment horizontal="center"/>
    </xf>
    <xf numFmtId="0" fontId="16" fillId="0" borderId="17" xfId="0" applyFont="1" applyFill="1" applyBorder="1" applyAlignment="1">
      <alignment horizontal="center"/>
    </xf>
    <xf numFmtId="10" fontId="16" fillId="0" borderId="17" xfId="1" applyNumberFormat="1" applyFont="1" applyFill="1" applyBorder="1" applyAlignment="1" applyProtection="1">
      <alignment horizontal="center"/>
    </xf>
    <xf numFmtId="170" fontId="16" fillId="0" borderId="17" xfId="0" applyNumberFormat="1" applyFont="1" applyFill="1" applyBorder="1" applyAlignment="1">
      <alignment horizontal="center"/>
    </xf>
    <xf numFmtId="0" fontId="27" fillId="11" borderId="17" xfId="0" applyFont="1" applyFill="1" applyBorder="1" applyAlignment="1">
      <alignment horizontal="center" vertical="center"/>
    </xf>
    <xf numFmtId="171" fontId="16" fillId="13" borderId="17" xfId="0" applyNumberFormat="1" applyFont="1" applyFill="1" applyBorder="1" applyAlignment="1">
      <alignment horizontal="center" vertical="center"/>
    </xf>
    <xf numFmtId="0" fontId="27" fillId="14" borderId="17" xfId="0" applyFont="1" applyFill="1" applyBorder="1" applyAlignment="1">
      <alignment horizontal="center" vertical="center"/>
    </xf>
    <xf numFmtId="171" fontId="27" fillId="13" borderId="17" xfId="0" applyNumberFormat="1" applyFont="1" applyFill="1" applyBorder="1" applyAlignment="1">
      <alignment horizontal="center" vertical="center"/>
    </xf>
    <xf numFmtId="10" fontId="16" fillId="0" borderId="17" xfId="0" applyNumberFormat="1" applyFont="1" applyFill="1" applyBorder="1" applyAlignment="1">
      <alignment horizontal="center"/>
    </xf>
    <xf numFmtId="10" fontId="16" fillId="13" borderId="17" xfId="1" applyNumberFormat="1" applyFont="1" applyFill="1" applyBorder="1" applyAlignment="1" applyProtection="1">
      <alignment horizontal="center"/>
    </xf>
    <xf numFmtId="170" fontId="16" fillId="13" borderId="17" xfId="0" applyNumberFormat="1" applyFont="1" applyFill="1" applyBorder="1" applyAlignment="1">
      <alignment horizontal="center"/>
    </xf>
    <xf numFmtId="0" fontId="16" fillId="0" borderId="28" xfId="0" applyFont="1" applyFill="1" applyBorder="1" applyAlignment="1">
      <alignment horizontal="center"/>
    </xf>
    <xf numFmtId="0" fontId="16" fillId="0" borderId="28" xfId="0" applyFont="1" applyFill="1" applyBorder="1" applyAlignment="1"/>
    <xf numFmtId="10" fontId="16" fillId="0" borderId="28" xfId="0" applyNumberFormat="1" applyFont="1" applyFill="1" applyBorder="1" applyAlignment="1">
      <alignment horizontal="center"/>
    </xf>
    <xf numFmtId="170" fontId="16" fillId="0" borderId="28" xfId="0" applyNumberFormat="1" applyFont="1" applyFill="1" applyBorder="1" applyAlignment="1">
      <alignment horizontal="center"/>
    </xf>
    <xf numFmtId="0" fontId="16" fillId="0" borderId="17" xfId="0" applyFont="1" applyFill="1" applyBorder="1" applyAlignment="1">
      <alignment horizontal="center" vertical="center"/>
    </xf>
    <xf numFmtId="0" fontId="16" fillId="0" borderId="17" xfId="0" applyFont="1" applyFill="1" applyBorder="1" applyAlignment="1">
      <alignment vertical="center"/>
    </xf>
    <xf numFmtId="170" fontId="16" fillId="13" borderId="17" xfId="0" applyNumberFormat="1" applyFont="1" applyFill="1" applyBorder="1" applyAlignment="1">
      <alignment horizontal="center" vertical="center"/>
    </xf>
    <xf numFmtId="170" fontId="16" fillId="0" borderId="17" xfId="0" applyNumberFormat="1" applyFont="1" applyFill="1" applyBorder="1" applyAlignment="1">
      <alignment horizontal="left" vertical="center"/>
    </xf>
    <xf numFmtId="10" fontId="16" fillId="0" borderId="17" xfId="1" applyNumberFormat="1" applyFont="1" applyFill="1" applyBorder="1" applyAlignment="1" applyProtection="1">
      <alignment horizontal="center" vertical="center"/>
    </xf>
    <xf numFmtId="0" fontId="16" fillId="0" borderId="17" xfId="0" applyFont="1" applyFill="1" applyBorder="1" applyAlignment="1">
      <alignment wrapText="1"/>
    </xf>
    <xf numFmtId="10" fontId="16" fillId="13" borderId="17" xfId="1" applyNumberFormat="1" applyFont="1" applyFill="1" applyBorder="1" applyAlignment="1" applyProtection="1">
      <alignment horizontal="center" vertical="center"/>
    </xf>
    <xf numFmtId="10" fontId="16" fillId="15" borderId="17" xfId="1" applyNumberFormat="1" applyFont="1" applyFill="1" applyBorder="1" applyAlignment="1" applyProtection="1">
      <alignment horizontal="center" vertical="center"/>
    </xf>
    <xf numFmtId="170" fontId="16" fillId="15" borderId="17" xfId="0" applyNumberFormat="1" applyFont="1" applyFill="1" applyBorder="1" applyAlignment="1">
      <alignment horizontal="center"/>
    </xf>
    <xf numFmtId="170" fontId="16" fillId="15" borderId="17" xfId="0" applyNumberFormat="1" applyFont="1" applyFill="1" applyBorder="1" applyAlignment="1">
      <alignment horizontal="center" vertical="center"/>
    </xf>
    <xf numFmtId="166" fontId="16" fillId="13" borderId="17" xfId="0" applyNumberFormat="1" applyFont="1" applyFill="1" applyBorder="1" applyAlignment="1">
      <alignment horizontal="center"/>
    </xf>
    <xf numFmtId="0" fontId="16" fillId="0" borderId="17" xfId="0" applyFont="1" applyFill="1" applyBorder="1" applyAlignment="1">
      <alignment vertical="center" wrapText="1"/>
    </xf>
    <xf numFmtId="0" fontId="29" fillId="0" borderId="17" xfId="0" applyFont="1" applyFill="1" applyBorder="1" applyAlignment="1">
      <alignment horizontal="center" vertical="center" wrapText="1"/>
    </xf>
    <xf numFmtId="170" fontId="29" fillId="0" borderId="17" xfId="0" applyNumberFormat="1" applyFont="1" applyFill="1" applyBorder="1" applyAlignment="1">
      <alignment vertical="center"/>
    </xf>
    <xf numFmtId="0" fontId="29" fillId="0" borderId="17" xfId="0" applyFont="1" applyFill="1" applyBorder="1" applyAlignment="1">
      <alignment horizontal="center"/>
    </xf>
    <xf numFmtId="170" fontId="29" fillId="0" borderId="17" xfId="0" applyNumberFormat="1" applyFont="1" applyFill="1" applyBorder="1" applyAlignment="1">
      <alignment horizontal="center"/>
    </xf>
    <xf numFmtId="170" fontId="30" fillId="13" borderId="17" xfId="0" applyNumberFormat="1" applyFont="1" applyFill="1" applyBorder="1" applyAlignment="1">
      <alignment horizontal="center"/>
    </xf>
    <xf numFmtId="170" fontId="16" fillId="0" borderId="17" xfId="0" applyNumberFormat="1" applyFont="1" applyFill="1" applyBorder="1" applyAlignment="1">
      <alignment horizontal="center" vertical="center"/>
    </xf>
    <xf numFmtId="170" fontId="4" fillId="13" borderId="17" xfId="0" applyNumberFormat="1" applyFont="1" applyFill="1" applyBorder="1" applyAlignment="1">
      <alignment horizontal="center"/>
    </xf>
    <xf numFmtId="170" fontId="4" fillId="0" borderId="17" xfId="0" applyNumberFormat="1" applyFont="1" applyFill="1" applyBorder="1" applyAlignment="1">
      <alignment horizontal="center"/>
    </xf>
    <xf numFmtId="0" fontId="4" fillId="0" borderId="17" xfId="0" applyFont="1" applyFill="1" applyBorder="1" applyAlignment="1"/>
    <xf numFmtId="0" fontId="16" fillId="0" borderId="17" xfId="0" applyFont="1" applyFill="1" applyBorder="1" applyAlignment="1">
      <alignment horizontal="right"/>
    </xf>
    <xf numFmtId="0" fontId="31" fillId="10" borderId="17" xfId="0" applyFont="1" applyFill="1" applyBorder="1" applyAlignment="1"/>
    <xf numFmtId="0" fontId="28" fillId="10" borderId="17" xfId="0" applyFont="1" applyFill="1" applyBorder="1" applyAlignment="1">
      <alignment horizontal="center" vertical="center"/>
    </xf>
    <xf numFmtId="170" fontId="28" fillId="10" borderId="17" xfId="0" applyNumberFormat="1" applyFont="1" applyFill="1" applyBorder="1" applyAlignment="1">
      <alignment horizontal="center"/>
    </xf>
    <xf numFmtId="0" fontId="16" fillId="11" borderId="17" xfId="0" applyFont="1" applyFill="1" applyBorder="1" applyAlignment="1">
      <alignment horizontal="left" vertical="center"/>
    </xf>
    <xf numFmtId="0" fontId="16" fillId="14" borderId="17" xfId="0" applyFont="1" applyFill="1" applyBorder="1" applyAlignment="1">
      <alignment horizontal="left" vertical="center"/>
    </xf>
    <xf numFmtId="171" fontId="16" fillId="13" borderId="17" xfId="0" applyNumberFormat="1" applyFont="1" applyFill="1" applyBorder="1" applyAlignment="1"/>
    <xf numFmtId="167" fontId="16" fillId="13" borderId="17" xfId="0" applyNumberFormat="1" applyFont="1" applyFill="1" applyBorder="1" applyAlignment="1">
      <alignment horizontal="center" vertical="center"/>
    </xf>
    <xf numFmtId="0" fontId="16" fillId="13" borderId="29" xfId="0" applyFont="1" applyFill="1" applyBorder="1" applyAlignment="1">
      <alignment horizontal="center"/>
    </xf>
    <xf numFmtId="170" fontId="16" fillId="13" borderId="32" xfId="0" applyNumberFormat="1" applyFont="1" applyFill="1" applyBorder="1" applyAlignment="1">
      <alignment horizontal="center"/>
    </xf>
    <xf numFmtId="168" fontId="16" fillId="13" borderId="17" xfId="0" applyNumberFormat="1" applyFont="1" applyFill="1" applyBorder="1" applyAlignment="1">
      <alignment horizontal="center"/>
    </xf>
    <xf numFmtId="49" fontId="16" fillId="13" borderId="17" xfId="0" applyNumberFormat="1" applyFont="1" applyFill="1" applyBorder="1" applyAlignment="1">
      <alignment horizontal="center"/>
    </xf>
    <xf numFmtId="0" fontId="3" fillId="9" borderId="17" xfId="0" applyNumberFormat="1" applyFont="1" applyFill="1" applyBorder="1" applyAlignment="1">
      <alignment horizontal="center" vertical="center"/>
    </xf>
    <xf numFmtId="0" fontId="38" fillId="9" borderId="17" xfId="0" applyFont="1" applyFill="1" applyBorder="1" applyAlignment="1">
      <alignment horizontal="justify" vertical="center" wrapText="1"/>
    </xf>
    <xf numFmtId="0" fontId="3" fillId="9" borderId="17" xfId="0" applyFont="1" applyFill="1" applyBorder="1" applyAlignment="1">
      <alignment horizontal="center" vertical="center" wrapText="1"/>
    </xf>
    <xf numFmtId="0" fontId="3" fillId="9" borderId="17" xfId="0" applyFont="1" applyFill="1" applyBorder="1" applyAlignment="1">
      <alignment horizontal="center" vertical="center" wrapText="1" readingOrder="1"/>
    </xf>
    <xf numFmtId="165" fontId="3" fillId="9" borderId="17" xfId="0" applyNumberFormat="1" applyFont="1" applyFill="1" applyBorder="1" applyAlignment="1">
      <alignment horizontal="center" vertical="center"/>
    </xf>
    <xf numFmtId="0" fontId="38" fillId="9" borderId="17" xfId="0" applyFont="1" applyFill="1" applyBorder="1" applyAlignment="1">
      <alignment horizontal="justify" vertical="top" wrapText="1"/>
    </xf>
    <xf numFmtId="0" fontId="3" fillId="9" borderId="17" xfId="0" applyFont="1" applyFill="1" applyBorder="1" applyAlignment="1">
      <alignment vertical="center" wrapText="1"/>
    </xf>
    <xf numFmtId="0" fontId="19" fillId="5" borderId="4" xfId="0" applyNumberFormat="1" applyFont="1" applyFill="1" applyBorder="1" applyAlignment="1">
      <alignment horizontal="center" vertical="center"/>
    </xf>
    <xf numFmtId="0" fontId="19" fillId="5" borderId="4" xfId="0" applyNumberFormat="1" applyFont="1" applyFill="1" applyBorder="1" applyAlignment="1">
      <alignment horizontal="justify" vertical="center"/>
    </xf>
    <xf numFmtId="0" fontId="19" fillId="5" borderId="5" xfId="0" applyFont="1" applyFill="1" applyBorder="1" applyAlignment="1">
      <alignment horizontal="center" vertical="center" wrapText="1"/>
    </xf>
    <xf numFmtId="169" fontId="19" fillId="5" borderId="5" xfId="0" applyNumberFormat="1" applyFont="1" applyFill="1" applyBorder="1" applyAlignment="1">
      <alignment horizontal="center" vertical="center" wrapText="1"/>
    </xf>
    <xf numFmtId="0" fontId="19" fillId="8" borderId="6" xfId="0" applyNumberFormat="1" applyFont="1" applyFill="1" applyBorder="1" applyAlignment="1">
      <alignment horizontal="center" vertical="center"/>
    </xf>
    <xf numFmtId="0" fontId="19" fillId="8" borderId="6" xfId="0" applyNumberFormat="1" applyFont="1" applyFill="1" applyBorder="1" applyAlignment="1">
      <alignment horizontal="justify" vertical="center"/>
    </xf>
    <xf numFmtId="0" fontId="19" fillId="8" borderId="7" xfId="0" applyFont="1" applyFill="1" applyBorder="1" applyAlignment="1">
      <alignment horizontal="center" vertical="center" wrapText="1"/>
    </xf>
    <xf numFmtId="169" fontId="19" fillId="8" borderId="7" xfId="0" applyNumberFormat="1" applyFont="1" applyFill="1" applyBorder="1" applyAlignment="1">
      <alignment horizontal="center" vertical="center" wrapText="1"/>
    </xf>
    <xf numFmtId="0" fontId="19" fillId="5" borderId="6" xfId="0" applyNumberFormat="1" applyFont="1" applyFill="1" applyBorder="1" applyAlignment="1">
      <alignment horizontal="center" vertical="center"/>
    </xf>
    <xf numFmtId="0" fontId="38" fillId="5" borderId="4" xfId="0" applyNumberFormat="1" applyFont="1" applyFill="1" applyBorder="1" applyAlignment="1">
      <alignment horizontal="justify" vertical="center"/>
    </xf>
    <xf numFmtId="0" fontId="19" fillId="5" borderId="7" xfId="0" applyFont="1" applyFill="1" applyBorder="1" applyAlignment="1">
      <alignment horizontal="center" vertical="center" wrapText="1"/>
    </xf>
    <xf numFmtId="10" fontId="37" fillId="22" borderId="17" xfId="1" applyNumberFormat="1" applyFont="1" applyFill="1" applyBorder="1" applyAlignment="1" applyProtection="1">
      <alignment horizontal="center"/>
    </xf>
    <xf numFmtId="0" fontId="16" fillId="22" borderId="17" xfId="0" applyFont="1" applyFill="1" applyBorder="1" applyAlignment="1">
      <alignment horizontal="center"/>
    </xf>
    <xf numFmtId="170" fontId="16" fillId="22" borderId="17" xfId="0" applyNumberFormat="1" applyFont="1" applyFill="1" applyBorder="1" applyAlignment="1">
      <alignment horizontal="center"/>
    </xf>
    <xf numFmtId="0" fontId="16" fillId="22" borderId="1" xfId="0" applyFont="1" applyFill="1" applyBorder="1" applyAlignment="1">
      <alignment horizontal="center"/>
    </xf>
    <xf numFmtId="170" fontId="16" fillId="22" borderId="21" xfId="0" applyNumberFormat="1" applyFont="1" applyFill="1" applyBorder="1" applyAlignment="1">
      <alignment horizontal="center"/>
    </xf>
    <xf numFmtId="0" fontId="18" fillId="2" borderId="0" xfId="0" applyFont="1" applyFill="1" applyAlignment="1">
      <alignment horizontal="center"/>
    </xf>
    <xf numFmtId="0" fontId="11" fillId="0" borderId="1" xfId="0" applyFont="1" applyBorder="1" applyAlignment="1">
      <alignment horizontal="center"/>
    </xf>
    <xf numFmtId="0" fontId="11" fillId="0" borderId="0" xfId="0" applyFont="1" applyAlignment="1">
      <alignment horizontal="center"/>
    </xf>
    <xf numFmtId="0" fontId="18" fillId="2" borderId="16" xfId="0" applyFont="1" applyFill="1" applyBorder="1" applyAlignment="1">
      <alignment horizontal="center"/>
    </xf>
    <xf numFmtId="0" fontId="11" fillId="0" borderId="0" xfId="0" applyFont="1" applyBorder="1" applyAlignment="1">
      <alignment horizontal="center"/>
    </xf>
    <xf numFmtId="0" fontId="11" fillId="0" borderId="0" xfId="0" applyFont="1" applyBorder="1" applyAlignment="1">
      <alignment horizontal="center" vertical="center"/>
    </xf>
    <xf numFmtId="0" fontId="18" fillId="2" borderId="0" xfId="0" applyFont="1" applyFill="1" applyAlignment="1">
      <alignment horizontal="center" wrapText="1"/>
    </xf>
    <xf numFmtId="0" fontId="14" fillId="2" borderId="21"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2" borderId="20" xfId="0" applyFont="1" applyFill="1" applyBorder="1" applyAlignment="1">
      <alignment horizontal="center" vertical="center" wrapText="1"/>
    </xf>
    <xf numFmtId="44" fontId="14" fillId="2" borderId="21" xfId="2" applyFont="1" applyFill="1" applyBorder="1" applyAlignment="1">
      <alignment horizontal="center" vertical="center" wrapText="1"/>
    </xf>
    <xf numFmtId="44" fontId="14" fillId="2" borderId="20" xfId="2" applyFont="1" applyFill="1" applyBorder="1" applyAlignment="1">
      <alignment horizontal="center" vertical="center" wrapText="1"/>
    </xf>
    <xf numFmtId="0" fontId="35" fillId="2" borderId="21" xfId="0" applyFont="1" applyFill="1" applyBorder="1" applyAlignment="1">
      <alignment horizontal="center"/>
    </xf>
    <xf numFmtId="0" fontId="35" fillId="2" borderId="28" xfId="0" applyFont="1" applyFill="1" applyBorder="1" applyAlignment="1">
      <alignment horizontal="center"/>
    </xf>
    <xf numFmtId="0" fontId="35" fillId="2" borderId="20" xfId="0" applyFont="1" applyFill="1" applyBorder="1" applyAlignment="1">
      <alignment horizontal="center"/>
    </xf>
    <xf numFmtId="0" fontId="12" fillId="2" borderId="21"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6" fillId="13" borderId="17" xfId="0" applyFont="1" applyFill="1" applyBorder="1" applyAlignment="1">
      <alignment horizontal="center"/>
    </xf>
    <xf numFmtId="0" fontId="26" fillId="10" borderId="17" xfId="0" applyFont="1" applyFill="1" applyBorder="1" applyAlignment="1">
      <alignment horizontal="center"/>
    </xf>
    <xf numFmtId="0" fontId="27" fillId="11" borderId="17" xfId="0" applyFont="1" applyFill="1" applyBorder="1" applyAlignment="1">
      <alignment horizontal="left" wrapText="1"/>
    </xf>
    <xf numFmtId="0" fontId="28" fillId="10" borderId="17" xfId="0" applyFont="1" applyFill="1" applyBorder="1" applyAlignment="1">
      <alignment horizontal="center"/>
    </xf>
    <xf numFmtId="14" fontId="16" fillId="13" borderId="17" xfId="0" applyNumberFormat="1" applyFont="1" applyFill="1" applyBorder="1" applyAlignment="1">
      <alignment horizontal="center"/>
    </xf>
    <xf numFmtId="0" fontId="27" fillId="0" borderId="17" xfId="0" applyFont="1" applyFill="1" applyBorder="1" applyAlignment="1">
      <alignment horizontal="center"/>
    </xf>
    <xf numFmtId="0" fontId="28" fillId="10" borderId="17" xfId="0" applyFont="1" applyFill="1" applyBorder="1" applyAlignment="1">
      <alignment horizontal="center" wrapText="1"/>
    </xf>
    <xf numFmtId="0" fontId="16" fillId="11" borderId="17" xfId="0" applyFont="1" applyFill="1" applyBorder="1" applyAlignment="1">
      <alignment horizontal="center"/>
    </xf>
    <xf numFmtId="0" fontId="16" fillId="20" borderId="30" xfId="0" applyFont="1" applyFill="1" applyBorder="1" applyAlignment="1">
      <alignment horizontal="center"/>
    </xf>
    <xf numFmtId="0" fontId="28" fillId="10" borderId="29" xfId="0" applyFont="1" applyFill="1" applyBorder="1" applyAlignment="1">
      <alignment horizontal="center"/>
    </xf>
    <xf numFmtId="0" fontId="27" fillId="0" borderId="0" xfId="0" applyFont="1" applyFill="1" applyBorder="1" applyAlignment="1">
      <alignment horizontal="center"/>
    </xf>
    <xf numFmtId="0" fontId="28" fillId="10" borderId="21" xfId="0" applyFont="1" applyFill="1" applyBorder="1" applyAlignment="1">
      <alignment horizontal="center"/>
    </xf>
    <xf numFmtId="0" fontId="28" fillId="10" borderId="28" xfId="0" applyFont="1" applyFill="1" applyBorder="1" applyAlignment="1">
      <alignment horizontal="center"/>
    </xf>
    <xf numFmtId="0" fontId="28" fillId="10" borderId="20" xfId="0" applyFont="1" applyFill="1" applyBorder="1" applyAlignment="1">
      <alignment horizontal="center"/>
    </xf>
    <xf numFmtId="0" fontId="28" fillId="10" borderId="17" xfId="0" applyFont="1" applyFill="1" applyBorder="1" applyAlignment="1">
      <alignment horizontal="center" vertical="center"/>
    </xf>
    <xf numFmtId="0" fontId="16" fillId="14" borderId="29" xfId="0" applyFont="1" applyFill="1" applyBorder="1" applyAlignment="1">
      <alignment horizontal="center"/>
    </xf>
    <xf numFmtId="0" fontId="20" fillId="9" borderId="0" xfId="0" applyFont="1" applyFill="1" applyAlignment="1">
      <alignment horizontal="center"/>
    </xf>
    <xf numFmtId="0" fontId="21" fillId="2" borderId="15" xfId="0" applyFont="1" applyFill="1" applyBorder="1" applyAlignment="1">
      <alignment horizontal="center" vertical="center"/>
    </xf>
    <xf numFmtId="0" fontId="21" fillId="2" borderId="19" xfId="0" applyFont="1" applyFill="1" applyBorder="1" applyAlignment="1">
      <alignment horizontal="center" vertical="center"/>
    </xf>
    <xf numFmtId="0" fontId="21" fillId="2" borderId="14" xfId="0" applyFont="1" applyFill="1" applyBorder="1" applyAlignment="1">
      <alignment horizontal="center" vertical="center"/>
    </xf>
    <xf numFmtId="0" fontId="32" fillId="9" borderId="0" xfId="0" applyFont="1" applyFill="1" applyAlignment="1">
      <alignment horizontal="center"/>
    </xf>
    <xf numFmtId="0" fontId="18" fillId="4" borderId="18" xfId="0" applyFont="1" applyFill="1" applyBorder="1" applyAlignment="1">
      <alignment horizontal="center" vertical="center"/>
    </xf>
    <xf numFmtId="0" fontId="18" fillId="4" borderId="4" xfId="0" applyFont="1" applyFill="1" applyBorder="1" applyAlignment="1">
      <alignment horizontal="center" vertical="center"/>
    </xf>
    <xf numFmtId="0" fontId="18" fillId="2" borderId="9" xfId="0" applyFont="1" applyFill="1" applyBorder="1" applyAlignment="1">
      <alignment horizontal="center"/>
    </xf>
    <xf numFmtId="0" fontId="18" fillId="2" borderId="10" xfId="0" applyFont="1" applyFill="1" applyBorder="1" applyAlignment="1">
      <alignment horizontal="center"/>
    </xf>
    <xf numFmtId="0" fontId="18" fillId="2" borderId="11" xfId="0" applyFont="1" applyFill="1" applyBorder="1" applyAlignment="1">
      <alignment horizontal="center"/>
    </xf>
    <xf numFmtId="0" fontId="18" fillId="2" borderId="7" xfId="0" applyFont="1" applyFill="1" applyBorder="1" applyAlignment="1">
      <alignment horizontal="center"/>
    </xf>
    <xf numFmtId="0" fontId="0" fillId="0" borderId="0" xfId="0" applyAlignment="1">
      <alignment horizontal="left"/>
    </xf>
    <xf numFmtId="0" fontId="0" fillId="0" borderId="0" xfId="0" applyAlignment="1">
      <alignment horizontal="center"/>
    </xf>
    <xf numFmtId="0" fontId="0" fillId="0" borderId="0" xfId="0" applyAlignment="1">
      <alignment horizontal="left" wrapText="1"/>
    </xf>
    <xf numFmtId="0" fontId="0" fillId="0" borderId="0" xfId="0" applyAlignment="1">
      <alignment horizontal="center" wrapText="1"/>
    </xf>
    <xf numFmtId="10" fontId="16" fillId="22" borderId="17" xfId="1" applyNumberFormat="1" applyFont="1" applyFill="1" applyBorder="1" applyAlignment="1" applyProtection="1">
      <alignment horizontal="center"/>
    </xf>
    <xf numFmtId="10" fontId="16" fillId="22" borderId="17" xfId="1" applyNumberFormat="1" applyFont="1" applyFill="1" applyBorder="1" applyAlignment="1" applyProtection="1">
      <alignment horizontal="center" vertical="center"/>
    </xf>
  </cellXfs>
  <cellStyles count="4">
    <cellStyle name="Excel Built-in Normal" xfId="3" xr:uid="{00000000-0005-0000-0000-000000000000}"/>
    <cellStyle name="Moeda" xfId="2" builtinId="4"/>
    <cellStyle name="Normal" xfId="0" builtinId="0"/>
    <cellStyle name="Porcentagem" xfId="1" builtinId="5"/>
  </cellStyles>
  <dxfs count="92">
    <dxf>
      <font>
        <b val="0"/>
        <i val="0"/>
        <strike val="0"/>
        <condense val="0"/>
        <extend val="0"/>
        <outline val="0"/>
        <shadow val="0"/>
        <u val="none"/>
        <vertAlign val="baseline"/>
        <sz val="11"/>
        <color rgb="FF000000"/>
        <name val="Calibri"/>
        <family val="2"/>
        <scheme val="none"/>
      </font>
      <numFmt numFmtId="170" formatCode="&quot;R$ &quot;#,##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numFmt numFmtId="14"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numFmt numFmtId="170" formatCode="&quot;R$ &quot;#,##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numFmt numFmtId="14"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numFmt numFmtId="170" formatCode="&quot;R$ &quot;#,##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numFmt numFmtId="170" formatCode="&quot;R$ &quot;#,##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numFmt numFmtId="173" formatCode="&quot;R$&quot;\ #,##0.000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fill>
        <patternFill patternType="solid">
          <fgColor theme="9" tint="0.79998168889431442"/>
          <bgColor theme="9" tint="0.79998168889431442"/>
        </patternFill>
      </fill>
      <alignment horizontal="general" vertical="center" textRotation="0" wrapText="0" indent="0" justifyLastLine="0" shrinkToFit="0" readingOrder="0"/>
      <border diagonalUp="0" diagonalDown="0">
        <left/>
        <right style="thin">
          <color theme="0"/>
        </right>
        <top style="thin">
          <color theme="0"/>
        </top>
        <bottom style="thin">
          <color theme="0"/>
        </bottom>
        <vertical/>
        <horizontal/>
      </border>
    </dxf>
    <dxf>
      <border diagonalUp="0" diagonalDown="0">
        <left style="thin">
          <color indexed="64"/>
        </left>
        <right style="thin">
          <color indexed="64"/>
        </right>
        <vertical style="thin">
          <color indexed="64"/>
        </vertical>
      </border>
    </dxf>
    <dxf>
      <border diagonalUp="0" diagonalDown="0">
        <left style="thin">
          <color indexed="64"/>
        </left>
        <right style="thin">
          <color indexed="64"/>
        </right>
        <vertical style="thin">
          <color indexed="64"/>
        </vertical>
      </border>
    </dxf>
    <dxf>
      <border diagonalUp="0" diagonalDown="0">
        <left style="thin">
          <color indexed="64"/>
        </left>
        <right style="thin">
          <color indexed="64"/>
        </right>
        <vertical style="thin">
          <color indexed="64"/>
        </vertical>
      </border>
    </dxf>
    <dxf>
      <border diagonalUp="0" diagonalDown="0">
        <left style="thin">
          <color indexed="64"/>
        </left>
        <right style="thin">
          <color indexed="64"/>
        </right>
        <vertical style="thin">
          <color indexed="64"/>
        </vertical>
      </border>
    </dxf>
    <dxf>
      <border diagonalUp="0" diagonalDown="0">
        <left style="thin">
          <color indexed="64"/>
        </left>
        <right style="thin">
          <color indexed="64"/>
        </right>
        <vertical style="thin">
          <color indexed="64"/>
        </vertical>
      </border>
    </dxf>
    <dxf>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1"/>
        <color auto="1"/>
        <name val="Calibri"/>
        <family val="2"/>
        <scheme val="none"/>
      </font>
      <numFmt numFmtId="170" formatCode="&quot;R$ &quot;#,##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bottom" textRotation="0" wrapText="0" indent="0" justifyLastLine="0" shrinkToFit="0" readingOrder="0"/>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none"/>
      </font>
      <numFmt numFmtId="170" formatCode="&quot;R$ &quot;#,##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xr9:uid="{00000000-0011-0000-FFFF-FFFF00000000}">
      <tableStyleElement type="firstRowStripe" dxfId="91"/>
      <tableStyleElement type="firstHeaderCell" dxfId="9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26" Type="http://schemas.openxmlformats.org/officeDocument/2006/relationships/customXml" Target="../customXml/item11.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worksheet" Target="worksheets/sheet7.xml"/><Relationship Id="rId12" Type="http://schemas.openxmlformats.org/officeDocument/2006/relationships/connections" Target="connections.xml"/><Relationship Id="rId17" Type="http://schemas.openxmlformats.org/officeDocument/2006/relationships/customXml" Target="../customXml/item2.xml"/><Relationship Id="rId25" Type="http://schemas.openxmlformats.org/officeDocument/2006/relationships/customXml" Target="../customXml/item10.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24" Type="http://schemas.openxmlformats.org/officeDocument/2006/relationships/customXml" Target="../customXml/item9.xml"/><Relationship Id="rId32" Type="http://schemas.openxmlformats.org/officeDocument/2006/relationships/customXml" Target="../customXml/item17.xml"/><Relationship Id="rId5" Type="http://schemas.openxmlformats.org/officeDocument/2006/relationships/worksheet" Target="worksheets/sheet5.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10" Type="http://schemas.openxmlformats.org/officeDocument/2006/relationships/worksheet" Target="worksheets/sheet10.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00000000}" name="Table4252" displayName="Table4252" ref="A2:D7" totalsRowShown="0">
  <tableColumns count="4">
    <tableColumn id="1" xr3:uid="{00000000-0010-0000-0000-000001000000}" name="Item"/>
    <tableColumn id="2" xr3:uid="{00000000-0010-0000-0000-000002000000}" name="Descrição"/>
    <tableColumn id="3" xr3:uid="{00000000-0010-0000-0000-000003000000}" name="Comentário"/>
    <tableColumn id="4" xr3:uid="{00000000-0010-0000-0000-000004000000}" name="Valor"/>
  </tableColumns>
  <tableStyleInfo name="TableStyleMedium1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09000000}" name="ResumoMódulo427" displayName="ResumoMódulo427" ref="A110:D113" totalsRowCount="1">
  <autoFilter ref="A110:D112" xr:uid="{00000000-0009-0000-0100-00003C000000}"/>
  <tableColumns count="4">
    <tableColumn id="1" xr3:uid="{00000000-0010-0000-0900-000001000000}" name="4" totalsRowLabel="Total"/>
    <tableColumn id="2" xr3:uid="{00000000-0010-0000-0900-000002000000}" name="Custo de Reposição do Profissional Ausente"/>
    <tableColumn id="3" xr3:uid="{00000000-0010-0000-0900-000003000000}" name="Comentário"/>
    <tableColumn id="4" xr3:uid="{00000000-0010-0000-0900-000004000000}" name="Valor" totalsRowFunction="sum"/>
  </tableColumns>
  <tableStyleInfo name="TableStyleMedium1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0A000000}" name="Módulo528" displayName="Módulo528" ref="A116:D121" totalsRowCount="1">
  <autoFilter ref="A116:D120" xr:uid="{00000000-0009-0000-0100-00003D000000}"/>
  <tableColumns count="4">
    <tableColumn id="1" xr3:uid="{00000000-0010-0000-0A00-000001000000}" name="5" totalsRowLabel="Total"/>
    <tableColumn id="2" xr3:uid="{00000000-0010-0000-0A00-000002000000}" name="Insumos Diversos"/>
    <tableColumn id="3" xr3:uid="{00000000-0010-0000-0A00-000003000000}" name="Comentário"/>
    <tableColumn id="4" xr3:uid="{00000000-0010-0000-0A00-000004000000}" name="Valor" totalsRowFunction="sum"/>
  </tableColumns>
  <tableStyleInfo name="TableStyleMedium1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0B000000}" name="Módulo629" displayName="Módulo629" ref="A131:D138" totalsRowCount="1">
  <tableColumns count="4">
    <tableColumn id="1" xr3:uid="{00000000-0010-0000-0B00-000001000000}" name="6" totalsRowLabel="Total"/>
    <tableColumn id="2" xr3:uid="{00000000-0010-0000-0B00-000002000000}" name="Custos Indiretos, Tributos e Lucro"/>
    <tableColumn id="3" xr3:uid="{00000000-0010-0000-0B00-000003000000}" name="Percentual"/>
    <tableColumn id="4" xr3:uid="{00000000-0010-0000-0B00-000004000000}" name="Valor" totalsRowFunction="custom">
      <totalsRowFormula>SUM(D132:D134)</totalsRowFormula>
    </tableColumn>
  </tableColumns>
  <tableStyleInfo name="TableStyleMedium14"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C000000}" name="ResumoPosto30" displayName="ResumoPosto30" ref="A142:D150">
  <autoFilter ref="A142:D150" xr:uid="{00000000-0009-0000-0100-00003F000000}"/>
  <tableColumns count="4">
    <tableColumn id="1" xr3:uid="{00000000-0010-0000-0C00-000001000000}" name="Item"/>
    <tableColumn id="2" xr3:uid="{00000000-0010-0000-0C00-000002000000}" name="Mão de obra vinculada à execução contratual"/>
    <tableColumn id="3" xr3:uid="{00000000-0010-0000-0C00-000003000000}" name="-"/>
    <tableColumn id="4" xr3:uid="{00000000-0010-0000-0C00-000004000000}" name="Valor" totalsRowFunction="sum"/>
  </tableColumns>
  <tableStyleInfo name="TableStyleMedium14"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00000000-000C-0000-FFFF-FFFF0D000000}" name="DadosGerais31" displayName="DadosGerais31" ref="F2:G6" totalsRowShown="0">
  <autoFilter ref="F2:G6" xr:uid="{00000000-0009-0000-0100-000040000000}"/>
  <tableColumns count="2">
    <tableColumn id="1" xr3:uid="{00000000-0010-0000-0D00-000001000000}" name="Descrição"/>
    <tableColumn id="2" xr3:uid="{00000000-0010-0000-0D00-000002000000}" name="Valor"/>
  </tableColumns>
  <tableStyleInfo name="TableStyleMedium14"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00000000-000C-0000-FFFF-FFFF0E000000}" name="DadosDesligamento32" displayName="DadosDesligamento32" ref="F9:G12" totalsRowShown="0">
  <autoFilter ref="F9:G12" xr:uid="{00000000-0009-0000-0100-000041000000}"/>
  <tableColumns count="2">
    <tableColumn id="1" xr3:uid="{00000000-0010-0000-0E00-000001000000}" name="Tipos"/>
    <tableColumn id="2" xr3:uid="{00000000-0010-0000-0E00-000002000000}" name="Percentual"/>
  </tableColumns>
  <tableStyleInfo name="TableStyleMedium14"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00000000-000C-0000-FFFF-FFFF0F000000}" name="CITL33" displayName="CITL33" ref="F15:G20" totalsRowShown="0">
  <autoFilter ref="F15:G20" xr:uid="{00000000-0009-0000-0100-000042000000}"/>
  <tableColumns count="2">
    <tableColumn id="1" xr3:uid="{00000000-0010-0000-0F00-000001000000}" name="Descrição"/>
    <tableColumn id="2" xr3:uid="{00000000-0010-0000-0F00-000002000000}" name="Percentual"/>
  </tableColumns>
  <tableStyleInfo name="TableStyleMedium14"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10000000}" name="Table868" displayName="Table868" ref="A27:D29" totalsRowShown="0">
  <autoFilter ref="A27:D29" xr:uid="{00000000-0009-0000-0100-000043000000}"/>
  <tableColumns count="4">
    <tableColumn id="1" xr3:uid="{00000000-0010-0000-1000-000001000000}" name="Item"/>
    <tableColumn id="2" xr3:uid="{00000000-0010-0000-1000-000002000000}" name="Rubrica"/>
    <tableColumn id="3" xr3:uid="{00000000-0010-0000-1000-000003000000}" name="Base de Cálculo"/>
    <tableColumn id="4" xr3:uid="{00000000-0010-0000-1000-000004000000}" name="Memória de Cálculo"/>
  </tableColumns>
  <tableStyleInfo name="TableStyleLight18"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11000000}" name="Table83969" displayName="Table83969" ref="A44:D45" totalsRowShown="0">
  <autoFilter ref="A44:D45" xr:uid="{00000000-0009-0000-0100-000044000000}"/>
  <tableColumns count="4">
    <tableColumn id="1" xr3:uid="{00000000-0010-0000-1100-000001000000}" name="Item"/>
    <tableColumn id="2" xr3:uid="{00000000-0010-0000-1100-000002000000}" name="Rubrica"/>
    <tableColumn id="3" xr3:uid="{00000000-0010-0000-1100-000003000000}" name="Base de Cálculo"/>
    <tableColumn id="4" xr3:uid="{00000000-0010-0000-1100-000004000000}" name="Memória de Cálculo"/>
  </tableColumns>
  <tableStyleInfo name="TableStyleLight1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12000000}" name="Table84270" displayName="Table84270" ref="A57:D59" totalsRowShown="0">
  <autoFilter ref="A57:D59" xr:uid="{00000000-0009-0000-0100-000045000000}"/>
  <tableColumns count="4">
    <tableColumn id="1" xr3:uid="{00000000-0010-0000-1200-000001000000}" name="Item"/>
    <tableColumn id="2" xr3:uid="{00000000-0010-0000-1200-000002000000}" name="Rubrica"/>
    <tableColumn id="3" xr3:uid="{00000000-0010-0000-1200-000003000000}" name="Base de Cálculo"/>
    <tableColumn id="4" xr3:uid="{00000000-0010-0000-1200-000004000000}" name="Memória de Cálculo"/>
  </tableColumns>
  <tableStyleInfo name="TableStyleLight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01000000}" name="Módulo13" displayName="Módulo13" ref="A10:D17" totalsRowCount="1">
  <autoFilter ref="A10:D16" xr:uid="{00000000-0009-0000-0100-000034000000}"/>
  <tableColumns count="4">
    <tableColumn id="1" xr3:uid="{00000000-0010-0000-0100-000001000000}" name="1" totalsRowLabel="Total"/>
    <tableColumn id="2" xr3:uid="{00000000-0010-0000-0100-000002000000}" name="Composição da Remuneração"/>
    <tableColumn id="3" xr3:uid="{00000000-0010-0000-0100-000003000000}" name="Comentário"/>
    <tableColumn id="4" xr3:uid="{00000000-0010-0000-0100-000004000000}" name="Valor" totalsRowFunction="sum"/>
  </tableColumns>
  <tableStyleInfo name="TableStyleMedium14"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13000000}" name="Table8423771" displayName="Table8423771" ref="A79:D85" totalsRowShown="0">
  <autoFilter ref="A79:D85" xr:uid="{00000000-0009-0000-0100-000046000000}"/>
  <tableColumns count="4">
    <tableColumn id="1" xr3:uid="{00000000-0010-0000-1300-000001000000}" name="Item"/>
    <tableColumn id="2" xr3:uid="{00000000-0010-0000-1300-000002000000}" name="Rubrica"/>
    <tableColumn id="3" xr3:uid="{00000000-0010-0000-1300-000003000000}" name="Base de Cálculo"/>
    <tableColumn id="4" xr3:uid="{00000000-0010-0000-1300-000004000000}" name="Memória de Cálculo"/>
  </tableColumns>
  <tableStyleInfo name="TableStyleLight18"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00000000-000C-0000-FFFF-FFFF14000000}" name="Table8423872" displayName="Table8423872" ref="A99:D102" totalsRowShown="0">
  <autoFilter ref="A99:D102" xr:uid="{00000000-0009-0000-0100-000047000000}"/>
  <tableColumns count="4">
    <tableColumn id="1" xr3:uid="{00000000-0010-0000-1400-000001000000}" name="Item"/>
    <tableColumn id="2" xr3:uid="{00000000-0010-0000-1400-000002000000}" name="Rubrica"/>
    <tableColumn id="3" xr3:uid="{00000000-0010-0000-1400-000003000000}" name="Base de Cálculo"/>
    <tableColumn id="4" xr3:uid="{00000000-0010-0000-1400-000004000000}" name="Memória de Cálculo"/>
  </tableColumns>
  <tableStyleInfo name="TableStyleLight18"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15000000}" name="Table842385173" displayName="Table842385173" ref="A124:D128" totalsRowShown="0">
  <autoFilter ref="A124:D128" xr:uid="{00000000-0009-0000-0100-000048000000}"/>
  <tableColumns count="4">
    <tableColumn id="1" xr3:uid="{00000000-0010-0000-1500-000001000000}" name="Item"/>
    <tableColumn id="2" xr3:uid="{00000000-0010-0000-1500-000002000000}" name="Rubrica"/>
    <tableColumn id="3" xr3:uid="{00000000-0010-0000-1500-000003000000}" name="Base de Cálculo"/>
    <tableColumn id="4" xr3:uid="{00000000-0010-0000-1500-000004000000}" name="Memória de Cálculo"/>
  </tableColumns>
  <tableStyleInfo name="TableStyleLight18"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16000000}" name="Tabela6" displayName="Tabela6" ref="F23:G25" totalsRowShown="0">
  <autoFilter ref="F23:G25" xr:uid="{00000000-0009-0000-0100-00004C000000}"/>
  <tableColumns count="2">
    <tableColumn id="1" xr3:uid="{00000000-0010-0000-1600-000001000000}" name="Descrição"/>
    <tableColumn id="2" xr3:uid="{00000000-0010-0000-1600-000002000000}" name="Valor"/>
  </tableColumns>
  <tableStyleInfo name="TableStyleMedium14"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17000000}" name="Table425278" displayName="Table425278" ref="A2:D7" totalsRowShown="0">
  <tableColumns count="4">
    <tableColumn id="1" xr3:uid="{00000000-0010-0000-1700-000001000000}" name="Item"/>
    <tableColumn id="2" xr3:uid="{00000000-0010-0000-1700-000002000000}" name="Descrição"/>
    <tableColumn id="3" xr3:uid="{00000000-0010-0000-1700-000003000000}" name="Comentário"/>
    <tableColumn id="4" xr3:uid="{00000000-0010-0000-1700-000004000000}" name="Valor"/>
  </tableColumns>
  <tableStyleInfo name="TableStyleMedium14"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0000000-000C-0000-FFFF-FFFF18000000}" name="Módulo1379" displayName="Módulo1379" ref="A10:D17" totalsRowCount="1">
  <autoFilter ref="A10:D16" xr:uid="{00000000-0009-0000-0100-00004E000000}"/>
  <tableColumns count="4">
    <tableColumn id="1" xr3:uid="{00000000-0010-0000-1800-000001000000}" name="1" totalsRowLabel="Total"/>
    <tableColumn id="2" xr3:uid="{00000000-0010-0000-1800-000002000000}" name="Composição da Remuneração"/>
    <tableColumn id="3" xr3:uid="{00000000-0010-0000-1800-000003000000}" name="Comentário"/>
    <tableColumn id="4" xr3:uid="{00000000-0010-0000-1800-000004000000}" name="Valor" totalsRowFunction="sum"/>
  </tableColumns>
  <tableStyleInfo name="TableStyleMedium14"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19000000}" name="Submódulo2.1480" displayName="Submódulo2.1480" ref="A21:D24" totalsRowCount="1">
  <autoFilter ref="A21:D23" xr:uid="{00000000-0009-0000-0100-00004F000000}"/>
  <tableColumns count="4">
    <tableColumn id="1" xr3:uid="{00000000-0010-0000-1900-000001000000}" name="2.1" totalsRowLabel="Total"/>
    <tableColumn id="2" xr3:uid="{00000000-0010-0000-1900-000002000000}" name="13º (décimo terceiro) Salário e Adicional de Férias"/>
    <tableColumn id="3" xr3:uid="{00000000-0010-0000-1900-000003000000}" name="Comentário"/>
    <tableColumn id="4" xr3:uid="{00000000-0010-0000-1900-000004000000}" name="Valor" totalsRowFunction="sum"/>
  </tableColumns>
  <tableStyleInfo name="TableStyleMedium14"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00000000-000C-0000-FFFF-FFFF1A000000}" name="Submódulo2.2681" displayName="Submódulo2.2681" ref="A32:D41" totalsRowCount="1">
  <autoFilter ref="A32:D40" xr:uid="{00000000-0009-0000-0100-000050000000}"/>
  <tableColumns count="4">
    <tableColumn id="1" xr3:uid="{00000000-0010-0000-1A00-000001000000}" name="2.2" totalsRowLabel="Total"/>
    <tableColumn id="2" xr3:uid="{00000000-0010-0000-1A00-000002000000}" name="GPS, FGTS e outras contribuições"/>
    <tableColumn id="3" xr3:uid="{00000000-0010-0000-1A00-000003000000}" name="Percentual" totalsRowFunction="sum"/>
    <tableColumn id="4" xr3:uid="{00000000-0010-0000-1A00-000004000000}" name="Valor " totalsRowFunction="sum"/>
  </tableColumns>
  <tableStyleInfo name="TableStyleMedium14"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00000000-000C-0000-FFFF-FFFF1B000000}" name="Submódulo2.3882" displayName="Submódulo2.3882" ref="A48:D54" totalsRowCount="1">
  <autoFilter ref="A48:D53" xr:uid="{00000000-0009-0000-0100-000051000000}"/>
  <tableColumns count="4">
    <tableColumn id="1" xr3:uid="{00000000-0010-0000-1B00-000001000000}" name="2.3" totalsRowLabel="Total"/>
    <tableColumn id="2" xr3:uid="{00000000-0010-0000-1B00-000002000000}" name="Benefícios Mensais e Diários"/>
    <tableColumn id="3" xr3:uid="{00000000-0010-0000-1B00-000003000000}" name="Comentário"/>
    <tableColumn id="4" xr3:uid="{00000000-0010-0000-1B00-000004000000}" name="Valor" totalsRowFunction="sum"/>
  </tableColumns>
  <tableStyleInfo name="TableStyleMedium14"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00000000-000C-0000-FFFF-FFFF1C000000}" name="ResumoMódulo2983" displayName="ResumoMódulo2983" ref="A62:D66" totalsRowCount="1">
  <autoFilter ref="A62:D65" xr:uid="{00000000-0009-0000-0100-000052000000}"/>
  <tableColumns count="4">
    <tableColumn id="1" xr3:uid="{00000000-0010-0000-1C00-000001000000}" name="2" totalsRowLabel="Total"/>
    <tableColumn id="2" xr3:uid="{00000000-0010-0000-1C00-000002000000}" name="Encargos e Benefícios Anuais, Mensais e Diários"/>
    <tableColumn id="3" xr3:uid="{00000000-0010-0000-1C00-000003000000}" name="Comentário"/>
    <tableColumn id="4" xr3:uid="{00000000-0010-0000-1C00-000004000000}" name="Valor" totalsRowFunction="sum"/>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02000000}" name="Submódulo2.14" displayName="Submódulo2.14" ref="A21:D24" totalsRowCount="1">
  <autoFilter ref="A21:D23" xr:uid="{00000000-0009-0000-0100-000035000000}"/>
  <tableColumns count="4">
    <tableColumn id="1" xr3:uid="{00000000-0010-0000-0200-000001000000}" name="2.1" totalsRowLabel="Total"/>
    <tableColumn id="2" xr3:uid="{00000000-0010-0000-0200-000002000000}" name="13º (décimo terceiro) Salário e Adicional de Férias"/>
    <tableColumn id="3" xr3:uid="{00000000-0010-0000-0200-000003000000}" name="Comentário"/>
    <tableColumn id="4" xr3:uid="{00000000-0010-0000-0200-000004000000}" name="Valor" totalsRowFunction="sum"/>
  </tableColumns>
  <tableStyleInfo name="TableStyleMedium14"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00000000-000C-0000-FFFF-FFFF1D000000}" name="Módulo32484" displayName="Módulo32484" ref="A69:D76" totalsRowCount="1">
  <autoFilter ref="A69:D75" xr:uid="{00000000-0009-0000-0100-000053000000}"/>
  <tableColumns count="4">
    <tableColumn id="1" xr3:uid="{00000000-0010-0000-1D00-000001000000}" name="3" totalsRowLabel="Total"/>
    <tableColumn id="2" xr3:uid="{00000000-0010-0000-1D00-000002000000}" name="Provisão para Rescisão"/>
    <tableColumn id="3" xr3:uid="{00000000-0010-0000-1D00-000003000000}" name="Comentário"/>
    <tableColumn id="4" xr3:uid="{00000000-0010-0000-1D00-000004000000}" name="Valor" totalsRowFunction="sum"/>
  </tableColumns>
  <tableStyleInfo name="TableStyleMedium14"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0000000-000C-0000-FFFF-FFFF1E000000}" name="Submódulo4.12585" displayName="Submódulo4.12585" ref="A89:D96" totalsRowCount="1">
  <autoFilter ref="A89:D95" xr:uid="{00000000-0009-0000-0100-000054000000}"/>
  <tableColumns count="4">
    <tableColumn id="1" xr3:uid="{00000000-0010-0000-1E00-000001000000}" name="4.1" totalsRowLabel="Total"/>
    <tableColumn id="2" xr3:uid="{00000000-0010-0000-1E00-000002000000}" name="Substituto nas Ausências Legais"/>
    <tableColumn id="3" xr3:uid="{00000000-0010-0000-1E00-000003000000}" name="Dias de ausência" totalsRowFunction="sum"/>
    <tableColumn id="4" xr3:uid="{00000000-0010-0000-1E00-000004000000}" name="Valor" totalsRowFunction="sum"/>
  </tableColumns>
  <tableStyleInfo name="TableStyleMedium14"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00000000-000C-0000-FFFF-FFFF1F000000}" name="Submódulo4.22686" displayName="Submódulo4.22686" ref="A105:D107" totalsRowCount="1">
  <autoFilter ref="A105:D106" xr:uid="{00000000-0009-0000-0100-000055000000}"/>
  <tableColumns count="4">
    <tableColumn id="1" xr3:uid="{00000000-0010-0000-1F00-000001000000}" name="4.2" totalsRowLabel="Total"/>
    <tableColumn id="2" xr3:uid="{00000000-0010-0000-1F00-000002000000}" name="Substituto na Intrajornada "/>
    <tableColumn id="3" xr3:uid="{00000000-0010-0000-1F00-000003000000}" name="Comentário"/>
    <tableColumn id="4" xr3:uid="{00000000-0010-0000-1F00-000004000000}" name="Valor" totalsRowFunction="sum"/>
  </tableColumns>
  <tableStyleInfo name="TableStyleMedium14"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20000000}" name="ResumoMódulo42787" displayName="ResumoMódulo42787" ref="A110:D113" totalsRowCount="1">
  <autoFilter ref="A110:D112" xr:uid="{00000000-0009-0000-0100-000056000000}"/>
  <tableColumns count="4">
    <tableColumn id="1" xr3:uid="{00000000-0010-0000-2000-000001000000}" name="4" totalsRowLabel="Total"/>
    <tableColumn id="2" xr3:uid="{00000000-0010-0000-2000-000002000000}" name="Custo de Reposição do Profissional Ausente"/>
    <tableColumn id="3" xr3:uid="{00000000-0010-0000-2000-000003000000}" name="Comentário"/>
    <tableColumn id="4" xr3:uid="{00000000-0010-0000-2000-000004000000}" name="Valor" totalsRowFunction="sum"/>
  </tableColumns>
  <tableStyleInfo name="TableStyleMedium14"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00000000-000C-0000-FFFF-FFFF21000000}" name="Módulo52888" displayName="Módulo52888" ref="A116:D121" totalsRowCount="1">
  <autoFilter ref="A116:D120" xr:uid="{00000000-0009-0000-0100-000057000000}"/>
  <tableColumns count="4">
    <tableColumn id="1" xr3:uid="{00000000-0010-0000-2100-000001000000}" name="5" totalsRowLabel="Total"/>
    <tableColumn id="2" xr3:uid="{00000000-0010-0000-2100-000002000000}" name="Insumos Diversos"/>
    <tableColumn id="3" xr3:uid="{00000000-0010-0000-2100-000003000000}" name="Comentário"/>
    <tableColumn id="4" xr3:uid="{00000000-0010-0000-2100-000004000000}" name="Valor" totalsRowFunction="sum"/>
  </tableColumns>
  <tableStyleInfo name="TableStyleMedium14"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00000000-000C-0000-FFFF-FFFF22000000}" name="Módulo62989" displayName="Módulo62989" ref="A131:D138" totalsRowCount="1">
  <tableColumns count="4">
    <tableColumn id="1" xr3:uid="{00000000-0010-0000-2200-000001000000}" name="6" totalsRowLabel="Total"/>
    <tableColumn id="2" xr3:uid="{00000000-0010-0000-2200-000002000000}" name="Custos Indiretos, Tributos e Lucro"/>
    <tableColumn id="3" xr3:uid="{00000000-0010-0000-2200-000003000000}" name="Percentual"/>
    <tableColumn id="4" xr3:uid="{00000000-0010-0000-2200-000004000000}" name="Valor" totalsRowFunction="custom">
      <totalsRowFormula>SUM(D132:D134)</totalsRowFormula>
    </tableColumn>
  </tableColumns>
  <tableStyleInfo name="TableStyleMedium14"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0000000-000C-0000-FFFF-FFFF23000000}" name="ResumoPosto3090" displayName="ResumoPosto3090" ref="A142:D150">
  <autoFilter ref="A142:D150" xr:uid="{00000000-0009-0000-0100-000059000000}"/>
  <tableColumns count="4">
    <tableColumn id="1" xr3:uid="{00000000-0010-0000-2300-000001000000}" name="Item"/>
    <tableColumn id="2" xr3:uid="{00000000-0010-0000-2300-000002000000}" name="Mão de obra vinculada à execução contratual"/>
    <tableColumn id="3" xr3:uid="{00000000-0010-0000-2300-000003000000}" name="-"/>
    <tableColumn id="4" xr3:uid="{00000000-0010-0000-2300-000004000000}" name="Valor" totalsRowFunction="sum"/>
  </tableColumns>
  <tableStyleInfo name="TableStyleMedium14"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00000000-000C-0000-FFFF-FFFF24000000}" name="DadosGerais3191" displayName="DadosGerais3191" ref="F2:G6" totalsRowShown="0">
  <autoFilter ref="F2:G6" xr:uid="{00000000-0009-0000-0100-00005A000000}"/>
  <tableColumns count="2">
    <tableColumn id="1" xr3:uid="{00000000-0010-0000-2400-000001000000}" name="Descrição"/>
    <tableColumn id="2" xr3:uid="{00000000-0010-0000-2400-000002000000}" name="Valor"/>
  </tableColumns>
  <tableStyleInfo name="TableStyleMedium14"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00000000-000C-0000-FFFF-FFFF25000000}" name="DadosDesligamento3292" displayName="DadosDesligamento3292" ref="F9:G12" totalsRowShown="0">
  <autoFilter ref="F9:G12" xr:uid="{00000000-0009-0000-0100-00005B000000}"/>
  <tableColumns count="2">
    <tableColumn id="1" xr3:uid="{00000000-0010-0000-2500-000001000000}" name="Tipos"/>
    <tableColumn id="2" xr3:uid="{00000000-0010-0000-2500-000002000000}" name="Percentual"/>
  </tableColumns>
  <tableStyleInfo name="TableStyleMedium14"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00000000-000C-0000-FFFF-FFFF26000000}" name="CITL3393" displayName="CITL3393" ref="F15:G20" totalsRowShown="0">
  <autoFilter ref="F15:G20" xr:uid="{00000000-0009-0000-0100-00005C000000}"/>
  <tableColumns count="2">
    <tableColumn id="1" xr3:uid="{00000000-0010-0000-2600-000001000000}" name="Descrição"/>
    <tableColumn id="2" xr3:uid="{00000000-0010-0000-2600-000002000000}" name="Percentual"/>
  </tableColumns>
  <tableStyleInfo name="TableStyleMedium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03000000}" name="Submódulo2.26" displayName="Submódulo2.26" ref="A32:D41" totalsRowCount="1">
  <autoFilter ref="A32:D40" xr:uid="{00000000-0009-0000-0100-000036000000}"/>
  <tableColumns count="4">
    <tableColumn id="1" xr3:uid="{00000000-0010-0000-0300-000001000000}" name="2.2" totalsRowLabel="Total"/>
    <tableColumn id="2" xr3:uid="{00000000-0010-0000-0300-000002000000}" name="GPS, FGTS e outras contribuições"/>
    <tableColumn id="3" xr3:uid="{00000000-0010-0000-0300-000003000000}" name="Percentual" totalsRowFunction="sum"/>
    <tableColumn id="4" xr3:uid="{00000000-0010-0000-0300-000004000000}" name="Valor " totalsRowFunction="sum"/>
  </tableColumns>
  <tableStyleInfo name="TableStyleMedium14"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00000000-000C-0000-FFFF-FFFF27000000}" name="Table86894" displayName="Table86894" ref="A27:D29" totalsRowShown="0">
  <autoFilter ref="A27:D29" xr:uid="{00000000-0009-0000-0100-00005D000000}"/>
  <tableColumns count="4">
    <tableColumn id="1" xr3:uid="{00000000-0010-0000-2700-000001000000}" name="Item"/>
    <tableColumn id="2" xr3:uid="{00000000-0010-0000-2700-000002000000}" name="Rubrica"/>
    <tableColumn id="3" xr3:uid="{00000000-0010-0000-2700-000003000000}" name="Base de Cálculo"/>
    <tableColumn id="4" xr3:uid="{00000000-0010-0000-2700-000004000000}" name="Memória de Cálculo"/>
  </tableColumns>
  <tableStyleInfo name="TableStyleLight18"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00000000-000C-0000-FFFF-FFFF28000000}" name="Table8396995" displayName="Table8396995" ref="A44:D45" totalsRowShown="0">
  <autoFilter ref="A44:D45" xr:uid="{00000000-0009-0000-0100-00005E000000}"/>
  <tableColumns count="4">
    <tableColumn id="1" xr3:uid="{00000000-0010-0000-2800-000001000000}" name="Item"/>
    <tableColumn id="2" xr3:uid="{00000000-0010-0000-2800-000002000000}" name="Rubrica"/>
    <tableColumn id="3" xr3:uid="{00000000-0010-0000-2800-000003000000}" name="Base de Cálculo"/>
    <tableColumn id="4" xr3:uid="{00000000-0010-0000-2800-000004000000}" name="Memória de Cálculo"/>
  </tableColumns>
  <tableStyleInfo name="TableStyleLight18"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00000000-000C-0000-FFFF-FFFF29000000}" name="Table8427096" displayName="Table8427096" ref="A57:D59" totalsRowShown="0">
  <autoFilter ref="A57:D59" xr:uid="{00000000-0009-0000-0100-00005F000000}"/>
  <tableColumns count="4">
    <tableColumn id="1" xr3:uid="{00000000-0010-0000-2900-000001000000}" name="Item"/>
    <tableColumn id="2" xr3:uid="{00000000-0010-0000-2900-000002000000}" name="Rubrica"/>
    <tableColumn id="3" xr3:uid="{00000000-0010-0000-2900-000003000000}" name="Base de Cálculo"/>
    <tableColumn id="4" xr3:uid="{00000000-0010-0000-2900-000004000000}" name="Memória de Cálculo"/>
  </tableColumns>
  <tableStyleInfo name="TableStyleLight18"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00000000-000C-0000-FFFF-FFFF2A000000}" name="Table842377197" displayName="Table842377197" ref="A79:D85" totalsRowShown="0">
  <autoFilter ref="A79:D85" xr:uid="{00000000-0009-0000-0100-000060000000}"/>
  <tableColumns count="4">
    <tableColumn id="1" xr3:uid="{00000000-0010-0000-2A00-000001000000}" name="Item"/>
    <tableColumn id="2" xr3:uid="{00000000-0010-0000-2A00-000002000000}" name="Rubrica"/>
    <tableColumn id="3" xr3:uid="{00000000-0010-0000-2A00-000003000000}" name="Base de Cálculo"/>
    <tableColumn id="4" xr3:uid="{00000000-0010-0000-2A00-000004000000}" name="Memória de Cálculo"/>
  </tableColumns>
  <tableStyleInfo name="TableStyleLight18"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2B000000}" name="Table842387298" displayName="Table842387298" ref="A99:D102" totalsRowShown="0">
  <autoFilter ref="A99:D102" xr:uid="{00000000-0009-0000-0100-000061000000}"/>
  <tableColumns count="4">
    <tableColumn id="1" xr3:uid="{00000000-0010-0000-2B00-000001000000}" name="Item"/>
    <tableColumn id="2" xr3:uid="{00000000-0010-0000-2B00-000002000000}" name="Rubrica"/>
    <tableColumn id="3" xr3:uid="{00000000-0010-0000-2B00-000003000000}" name="Base de Cálculo"/>
    <tableColumn id="4" xr3:uid="{00000000-0010-0000-2B00-000004000000}" name="Memória de Cálculo"/>
  </tableColumns>
  <tableStyleInfo name="TableStyleLight18"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00000000-000C-0000-FFFF-FFFF2C000000}" name="Table84238517399" displayName="Table84238517399" ref="A124:D128" totalsRowShown="0">
  <autoFilter ref="A124:D128" xr:uid="{00000000-0009-0000-0100-000062000000}"/>
  <tableColumns count="4">
    <tableColumn id="1" xr3:uid="{00000000-0010-0000-2C00-000001000000}" name="Item"/>
    <tableColumn id="2" xr3:uid="{00000000-0010-0000-2C00-000002000000}" name="Rubrica"/>
    <tableColumn id="3" xr3:uid="{00000000-0010-0000-2C00-000003000000}" name="Base de Cálculo"/>
    <tableColumn id="4" xr3:uid="{00000000-0010-0000-2C00-000004000000}" name="Memória de Cálculo"/>
  </tableColumns>
  <tableStyleInfo name="TableStyleLight18"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2D000000}" name="Tabela6100" displayName="Tabela6100" ref="F23:G25" totalsRowShown="0">
  <autoFilter ref="F23:G25" xr:uid="{00000000-0009-0000-0100-000063000000}"/>
  <tableColumns count="2">
    <tableColumn id="1" xr3:uid="{00000000-0010-0000-2D00-000001000000}" name="Descrição"/>
    <tableColumn id="2" xr3:uid="{00000000-0010-0000-2D00-000002000000}" name="Valor"/>
  </tableColumns>
  <tableStyleInfo name="TableStyleMedium14"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2E000000}" name="Módulo358_57104" displayName="Módulo358_57104" ref="A76:D83" totalsRowCount="1" headerRowDxfId="89" totalsRowDxfId="88">
  <autoFilter ref="A76:D82" xr:uid="{00000000-0009-0000-0100-000001000000}"/>
  <tableColumns count="4">
    <tableColumn id="1" xr3:uid="{00000000-0010-0000-2E00-000001000000}" name="3" totalsRowLabel="Total" dataDxfId="87" totalsRowDxfId="86"/>
    <tableColumn id="2" xr3:uid="{00000000-0010-0000-2E00-000002000000}" name="Provisão para Rescisão" dataDxfId="85" totalsRowDxfId="84"/>
    <tableColumn id="3" xr3:uid="{00000000-0010-0000-2E00-000003000000}" name="Percentual" totalsRowFunction="custom" dataDxfId="83" totalsRowDxfId="82">
      <totalsRowFormula>SUM(C77:C82)</totalsRowFormula>
    </tableColumn>
    <tableColumn id="4" xr3:uid="{00000000-0010-0000-2E00-000004000000}" name="Valor" totalsRowFunction="custom" dataDxfId="81" totalsRowDxfId="80">
      <totalsRowFormula>TRUNC((SUM(D77:D82)),2)</totalsRowFormula>
    </tableColumn>
  </tableColumns>
  <tableStyleInfo name="None"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F000000}" name="ResumoMódulo461_62115" displayName="ResumoMódulo461_62115" ref="A107:D110" totalsRowCount="1">
  <autoFilter ref="A107:D109" xr:uid="{00000000-0009-0000-0100-000002000000}"/>
  <tableColumns count="4">
    <tableColumn id="1" xr3:uid="{00000000-0010-0000-2F00-000001000000}" name="4" totalsRowLabel="Total"/>
    <tableColumn id="2" xr3:uid="{00000000-0010-0000-2F00-000002000000}" name="Custo de Reposição do Profissional Ausente"/>
    <tableColumn id="3" xr3:uid="{00000000-0010-0000-2F00-000003000000}" name="Comentário" totalsRowLabel="*Nota: Se o titular USUFRUIR do descanso intrajornada, o total é o somatório dos subitens 4.1 e 4.2"/>
    <tableColumn id="4" xr3:uid="{00000000-0010-0000-2F00-000004000000}" name="Valor" totalsRowFunction="custom">
      <totalsRowFormula>TRUNC((SUM(D108:D109)),2)</totalsRowFormula>
    </tableColumn>
  </tableColumns>
  <tableStyleInfo name="None"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30000000}" name="Submódulo2.255_63114" displayName="Submódulo2.255_63114" ref="A46:D55" totalsRowCount="1" headerRowDxfId="79" totalsRowDxfId="78">
  <autoFilter ref="A46:D54" xr:uid="{00000000-0009-0000-0100-000003000000}"/>
  <tableColumns count="4">
    <tableColumn id="1" xr3:uid="{00000000-0010-0000-3000-000001000000}" name="2.2" totalsRowLabel="Total" dataDxfId="77" totalsRowDxfId="3"/>
    <tableColumn id="2" xr3:uid="{00000000-0010-0000-3000-000002000000}" name="GPS, FGTS e outras contribuições" dataDxfId="76" totalsRowDxfId="2"/>
    <tableColumn id="3" xr3:uid="{00000000-0010-0000-3000-000003000000}" name="Percentual" totalsRowFunction="custom" dataDxfId="75" totalsRowDxfId="1">
      <totalsRowFormula>SUM(C47:C54)</totalsRowFormula>
    </tableColumn>
    <tableColumn id="4" xr3:uid="{00000000-0010-0000-3000-000004000000}" name="Valor " totalsRowFunction="custom" dataDxfId="74" totalsRowDxfId="0">
      <totalsRowFormula>TRUNC(SUM(D47:D54),2)</totalsRowFormula>
    </tableColumn>
  </tableColumns>
  <tableStyleInfo name="Non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04000000}" name="Submódulo2.38" displayName="Submódulo2.38" ref="A48:D54" totalsRowCount="1">
  <autoFilter ref="A48:D53" xr:uid="{00000000-0009-0000-0100-000037000000}"/>
  <tableColumns count="4">
    <tableColumn id="1" xr3:uid="{00000000-0010-0000-0400-000001000000}" name="2.3" totalsRowLabel="Total"/>
    <tableColumn id="2" xr3:uid="{00000000-0010-0000-0400-000002000000}" name="Benefícios Mensais e Diários"/>
    <tableColumn id="3" xr3:uid="{00000000-0010-0000-0400-000003000000}" name="Comentário"/>
    <tableColumn id="4" xr3:uid="{00000000-0010-0000-0400-000004000000}" name="Valor" totalsRowFunction="sum"/>
  </tableColumns>
  <tableStyleInfo name="TableStyleMedium14"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31000000}" name="Módulo562_58116" displayName="Módulo562_58116" ref="A113:D119" totalsRowCount="1">
  <autoFilter ref="A113:D118" xr:uid="{00000000-0009-0000-0100-000004000000}"/>
  <tableColumns count="4">
    <tableColumn id="1" xr3:uid="{00000000-0010-0000-3100-000001000000}" name="5" totalsRowLabel="Total"/>
    <tableColumn id="2" xr3:uid="{00000000-0010-0000-3100-000002000000}" name="Insumos Diversos"/>
    <tableColumn id="3" xr3:uid="{00000000-0010-0000-3100-000003000000}" name="Comentário"/>
    <tableColumn id="4" xr3:uid="{00000000-0010-0000-3100-000004000000}" name="Valor" totalsRowFunction="custom">
      <totalsRowFormula>TRUNC(SUM(D114:D118),2)</totalsRowFormula>
    </tableColumn>
  </tableColumns>
  <tableStyleInfo name="None"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32000000}" name="Submódulo4.260_55107" displayName="Submódulo4.260_55107" ref="A102:D104" totalsRowCount="1">
  <autoFilter ref="A102:D103" xr:uid="{00000000-0009-0000-0100-000005000000}"/>
  <tableColumns count="4">
    <tableColumn id="1" xr3:uid="{00000000-0010-0000-3200-000001000000}" name="4.2" totalsRowLabel="Total"/>
    <tableColumn id="2" xr3:uid="{00000000-0010-0000-3200-000002000000}" name="Substituto na Intrajornada "/>
    <tableColumn id="3" xr3:uid="{00000000-0010-0000-3200-000003000000}" name="Comentário"/>
    <tableColumn id="4" xr3:uid="{00000000-0010-0000-3200-000004000000}" name="Valor" totalsRowFunction="custom" dataDxfId="73">
      <totalsRowFormula>D103</totalsRowFormula>
    </tableColumn>
  </tableColumns>
  <tableStyleInfo name="None"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33000000}" name="ResumoPosto64_64108" displayName="ResumoPosto64_64108" ref="A140:D148" totalsRowShown="0">
  <autoFilter ref="A140:D148" xr:uid="{00000000-0009-0000-0100-000006000000}"/>
  <tableColumns count="4">
    <tableColumn id="1" xr3:uid="{00000000-0010-0000-3300-000001000000}" name="Item"/>
    <tableColumn id="2" xr3:uid="{00000000-0010-0000-3300-000002000000}" name="Mão de obra vinculada à execução contratual"/>
    <tableColumn id="3" xr3:uid="{00000000-0010-0000-3300-000003000000}" name="-"/>
    <tableColumn id="4" xr3:uid="{00000000-0010-0000-3300-000004000000}" name="Valor"/>
  </tableColumns>
  <tableStyleInfo name="None"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34000000}" name="Submódulo2.154_61111" displayName="Submódulo2.154_61111" ref="A36:D39" totalsRowCount="1" headerRowDxfId="72" totalsRowDxfId="71">
  <autoFilter ref="A36:D38" xr:uid="{00000000-0009-0000-0100-000007000000}"/>
  <tableColumns count="4">
    <tableColumn id="1" xr3:uid="{00000000-0010-0000-3400-000001000000}" name="2.1" totalsRowLabel="Total" dataDxfId="70" totalsRowDxfId="69"/>
    <tableColumn id="2" xr3:uid="{00000000-0010-0000-3400-000002000000}" name="13º (décimo terceiro) Salário, Férias e Adicional de Férias" dataDxfId="68" totalsRowDxfId="67"/>
    <tableColumn id="3" xr3:uid="{00000000-0010-0000-3400-000003000000}" name="Percentual" dataDxfId="66" totalsRowDxfId="65"/>
    <tableColumn id="4" xr3:uid="{00000000-0010-0000-3400-000004000000}" name="Valor" totalsRowFunction="custom" dataDxfId="64" totalsRowDxfId="63">
      <totalsRowFormula>TRUNC((SUM(D37:D38)),2)</totalsRowFormula>
    </tableColumn>
  </tableColumns>
  <tableStyleInfo name="None"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35000000}" name="Módulo663_59105" displayName="Módulo663_59105" ref="A129:D136" totalsRowCount="1">
  <tableColumns count="4">
    <tableColumn id="1" xr3:uid="{00000000-0010-0000-3500-000001000000}" name="6" totalsRowLabel="Total" totalsRowDxfId="15"/>
    <tableColumn id="2" xr3:uid="{00000000-0010-0000-3500-000002000000}" name="Custos Indiretos, Tributos e Lucro" totalsRowDxfId="14"/>
    <tableColumn id="3" xr3:uid="{00000000-0010-0000-3500-000003000000}" name="Percentual" totalsRowDxfId="13"/>
    <tableColumn id="4" xr3:uid="{00000000-0010-0000-3500-000004000000}" name="Valor" totalsRowFunction="custom" totalsRowDxfId="12">
      <totalsRowFormula>SUM(D130:D132)</totalsRowFormula>
    </tableColumn>
  </tableColumns>
  <tableStyleInfo name="None"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36000000}" name="ResumoMódulo257_60113" displayName="ResumoMódulo257_60113" ref="A69:D73" totalsRowCount="1">
  <autoFilter ref="A69:D72" xr:uid="{00000000-0009-0000-0100-000009000000}"/>
  <tableColumns count="4">
    <tableColumn id="1" xr3:uid="{00000000-0010-0000-3600-000001000000}" name="2" totalsRowLabel="Total"/>
    <tableColumn id="2" xr3:uid="{00000000-0010-0000-3600-000002000000}" name="Encargos e Benefícios Anuais, Mensais e Diários"/>
    <tableColumn id="3" xr3:uid="{00000000-0010-0000-3600-000003000000}" name="Comentário"/>
    <tableColumn id="4" xr3:uid="{00000000-0010-0000-3600-000004000000}" name="Valor" totalsRowFunction="custom">
      <totalsRowFormula>TRUNC((SUM(D70:D72)),2)</totalsRowFormula>
    </tableColumn>
  </tableColumns>
  <tableStyleInfo name="None"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37000000}" name="Table452_56106" displayName="Table452_56106" ref="A16:D21" totalsRowShown="0" headerRowDxfId="62" headerRowBorderDxfId="61" tableBorderDxfId="60" totalsRowBorderDxfId="59">
  <tableColumns count="4">
    <tableColumn id="1" xr3:uid="{00000000-0010-0000-3700-000001000000}" name="Item" dataDxfId="58"/>
    <tableColumn id="2" xr3:uid="{00000000-0010-0000-3700-000002000000}" name="Descrição" dataDxfId="57"/>
    <tableColumn id="3" xr3:uid="{00000000-0010-0000-3700-000003000000}" name="Comentário" dataDxfId="56"/>
    <tableColumn id="4" xr3:uid="{00000000-0010-0000-3700-000004000000}" name="Valor" dataDxfId="55"/>
  </tableColumns>
  <tableStyleInfo name="None"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38000000}" name="Submódulo4.159_54110" displayName="Submódulo4.159_54110" ref="A92:D99" totalsRowCount="1">
  <autoFilter ref="A92:D98" xr:uid="{00000000-0009-0000-0100-00000B000000}"/>
  <tableColumns count="4">
    <tableColumn id="1" xr3:uid="{00000000-0010-0000-3800-000001000000}" name="4.1" totalsRowLabel="Total"/>
    <tableColumn id="2" xr3:uid="{00000000-0010-0000-3800-000002000000}" name="Substituto nas Ausências Legais"/>
    <tableColumn id="3" xr3:uid="{00000000-0010-0000-3800-000003000000}" name="Percentual" totalsRowFunction="custom">
      <totalsRowFormula>SUM(C93:C98)</totalsRowFormula>
    </tableColumn>
    <tableColumn id="4" xr3:uid="{00000000-0010-0000-3800-000004000000}" name="Valor" totalsRowFunction="custom">
      <totalsRowFormula>TRUNC((SUM(D93:D98)),2)</totalsRowFormula>
    </tableColumn>
  </tableColumns>
  <tableStyleInfo name="None"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39000000}" name="Módulo153_52109" displayName="Módulo153_52109" ref="A24:D31" totalsRowCount="1" headerRowDxfId="54" totalsRowDxfId="51" headerRowBorderDxfId="53" tableBorderDxfId="52" totalsRowBorderDxfId="50">
  <autoFilter ref="A24:D30" xr:uid="{00000000-0009-0000-0100-00000C000000}"/>
  <tableColumns count="4">
    <tableColumn id="1" xr3:uid="{00000000-0010-0000-3900-000001000000}" name="1" totalsRowLabel="Total" dataDxfId="49" totalsRowDxfId="48"/>
    <tableColumn id="2" xr3:uid="{00000000-0010-0000-3900-000002000000}" name="Composição da Remuneração" dataDxfId="47" totalsRowDxfId="46"/>
    <tableColumn id="3" xr3:uid="{00000000-0010-0000-3900-000003000000}" name="Comentário" dataDxfId="45" totalsRowDxfId="44"/>
    <tableColumn id="4" xr3:uid="{00000000-0010-0000-3900-000004000000}" name="Valor" totalsRowFunction="custom" dataDxfId="43" totalsRowDxfId="42">
      <totalsRowFormula>TRUNC((SUM(D25:D30)),2)</totalsRowFormula>
    </tableColumn>
  </tableColumns>
  <tableStyleInfo name="None"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3A000000}" name="Submódulo2.356_53112" displayName="Submódulo2.356_53112" ref="A58:D66" totalsRowCount="1">
  <autoFilter ref="A58:D65" xr:uid="{00000000-0009-0000-0100-00000D000000}"/>
  <tableColumns count="4">
    <tableColumn id="1" xr3:uid="{00000000-0010-0000-3A00-000001000000}" name="2.3" totalsRowLabel="Total"/>
    <tableColumn id="2" xr3:uid="{00000000-0010-0000-3A00-000002000000}" name="Benefícios Mensais e Diários"/>
    <tableColumn id="3" xr3:uid="{00000000-0010-0000-3A00-000003000000}" name="Comentário"/>
    <tableColumn id="4" xr3:uid="{00000000-0010-0000-3A00-000004000000}" name="Valor" totalsRowFunction="custom">
      <totalsRowFormula>TRUNC((SUM(D59:D65)),2)</totalsRowFormula>
    </tableColumn>
  </tableColumns>
  <tableStyleInfo name="Non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05000000}" name="ResumoMódulo29" displayName="ResumoMódulo29" ref="A62:D66" totalsRowCount="1">
  <autoFilter ref="A62:D65" xr:uid="{00000000-0009-0000-0100-000038000000}"/>
  <tableColumns count="4">
    <tableColumn id="1" xr3:uid="{00000000-0010-0000-0500-000001000000}" name="2" totalsRowLabel="Total"/>
    <tableColumn id="2" xr3:uid="{00000000-0010-0000-0500-000002000000}" name="Encargos e Benefícios Anuais, Mensais e Diários"/>
    <tableColumn id="3" xr3:uid="{00000000-0010-0000-0500-000003000000}" name="Comentário"/>
    <tableColumn id="4" xr3:uid="{00000000-0010-0000-0500-000004000000}" name="Valor" totalsRowFunction="sum"/>
  </tableColumns>
  <tableStyleInfo name="TableStyleMedium14"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3B000000}" name="Módulo358_5710415" displayName="Módulo358_5710415" ref="A76:D83" totalsRowCount="1" headerRowDxfId="41" totalsRowDxfId="40">
  <autoFilter ref="A76:D82" xr:uid="{00000000-0009-0000-0100-00000E000000}"/>
  <tableColumns count="4">
    <tableColumn id="1" xr3:uid="{00000000-0010-0000-3B00-000001000000}" name="3" totalsRowLabel="Total" dataDxfId="39" totalsRowDxfId="38"/>
    <tableColumn id="2" xr3:uid="{00000000-0010-0000-3B00-000002000000}" name="Provisão para Rescisão" dataDxfId="37" totalsRowDxfId="36"/>
    <tableColumn id="3" xr3:uid="{00000000-0010-0000-3B00-000003000000}" name="Percentual" totalsRowFunction="custom" dataDxfId="35" totalsRowDxfId="34">
      <totalsRowFormula>SUM(C77:C82)</totalsRowFormula>
    </tableColumn>
    <tableColumn id="4" xr3:uid="{00000000-0010-0000-3B00-000004000000}" name="Valor" totalsRowFunction="custom" dataDxfId="33" totalsRowDxfId="32">
      <totalsRowFormula>TRUNC((SUM(D77:D82)),2)</totalsRowFormula>
    </tableColumn>
  </tableColumns>
  <tableStyleInfo name="None"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3C000000}" name="ResumoMódulo461_6211519" displayName="ResumoMódulo461_6211519" ref="A107:D110" totalsRowCount="1">
  <autoFilter ref="A107:D109" xr:uid="{00000000-0009-0000-0100-000012000000}"/>
  <tableColumns count="4">
    <tableColumn id="1" xr3:uid="{00000000-0010-0000-3C00-000001000000}" name="4" totalsRowLabel="Total"/>
    <tableColumn id="2" xr3:uid="{00000000-0010-0000-3C00-000002000000}" name="Custo de Reposição do Profissional Ausente"/>
    <tableColumn id="3" xr3:uid="{00000000-0010-0000-3C00-000003000000}" name="Comentário" totalsRowLabel="*Nota: Se o titular USUFRUIR do descanso intrajornada, o total é o somatório dos subitens 4.1 e 4.2"/>
    <tableColumn id="4" xr3:uid="{00000000-0010-0000-3C00-000004000000}" name="Valor" totalsRowFunction="custom">
      <totalsRowFormula>TRUNC((SUM(D108:D109)),2)</totalsRowFormula>
    </tableColumn>
  </tableColumns>
  <tableStyleInfo name="None"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3D000000}" name="Submódulo2.255_6311420" displayName="Submódulo2.255_6311420" ref="A46:D55" totalsRowCount="1">
  <autoFilter ref="A46:D54" xr:uid="{00000000-0009-0000-0100-000013000000}"/>
  <tableColumns count="4">
    <tableColumn id="1" xr3:uid="{00000000-0010-0000-3D00-000001000000}" name="2.2" totalsRowLabel="Total" totalsRowDxfId="7"/>
    <tableColumn id="2" xr3:uid="{00000000-0010-0000-3D00-000002000000}" name="GPS, FGTS e outras contribuições" totalsRowDxfId="6"/>
    <tableColumn id="3" xr3:uid="{00000000-0010-0000-3D00-000003000000}" name="Percentual" totalsRowFunction="custom" totalsRowDxfId="5">
      <totalsRowFormula>SUM(C47:C54)</totalsRowFormula>
    </tableColumn>
    <tableColumn id="4" xr3:uid="{00000000-0010-0000-3D00-000004000000}" name="Valor " totalsRowFunction="custom" totalsRowDxfId="4">
      <totalsRowFormula>TRUNC(SUM(D47:D54),2)</totalsRowFormula>
    </tableColumn>
  </tableColumns>
  <tableStyleInfo name="None"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3E000000}" name="ResumoMódulo257_6011321" displayName="ResumoMódulo257_6011321" ref="A69:D73" totalsRowCount="1">
  <autoFilter ref="A69:D72" xr:uid="{00000000-0009-0000-0100-000014000000}"/>
  <tableColumns count="4">
    <tableColumn id="1" xr3:uid="{00000000-0010-0000-3E00-000001000000}" name="2" totalsRowLabel="Total"/>
    <tableColumn id="2" xr3:uid="{00000000-0010-0000-3E00-000002000000}" name="Encargos e Benefícios Anuais, Mensais e Diários"/>
    <tableColumn id="3" xr3:uid="{00000000-0010-0000-3E00-000003000000}" name="Comentário"/>
    <tableColumn id="4" xr3:uid="{00000000-0010-0000-3E00-000004000000}" name="Valor" totalsRowFunction="custom">
      <totalsRowFormula>TRUNC((SUM(D70:D72)),2)</totalsRowFormula>
    </tableColumn>
  </tableColumns>
  <tableStyleInfo name="None"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3F000000}" name="Submódulo4.159_5411022" displayName="Submódulo4.159_5411022" ref="A92:D99" totalsRowCount="1">
  <autoFilter ref="A92:D98" xr:uid="{00000000-0009-0000-0100-000015000000}"/>
  <tableColumns count="4">
    <tableColumn id="1" xr3:uid="{00000000-0010-0000-3F00-000001000000}" name="4.1" totalsRowLabel="Total"/>
    <tableColumn id="2" xr3:uid="{00000000-0010-0000-3F00-000002000000}" name="Substituto nas Ausências Legais"/>
    <tableColumn id="3" xr3:uid="{00000000-0010-0000-3F00-000003000000}" name="Percentual" totalsRowFunction="custom">
      <totalsRowFormula>SUM(C93:C98)</totalsRowFormula>
    </tableColumn>
    <tableColumn id="4" xr3:uid="{00000000-0010-0000-3F00-000004000000}" name="Valor" totalsRowFunction="custom">
      <totalsRowFormula>TRUNC((SUM(D93:D98)),2)</totalsRowFormula>
    </tableColumn>
  </tableColumns>
  <tableStyleInfo name="None"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40000000}" name="ResumoPosto64_6410823" displayName="ResumoPosto64_6410823" ref="A139:D147" totalsRowShown="0">
  <autoFilter ref="A139:D147" xr:uid="{00000000-0009-0000-0100-000016000000}"/>
  <tableColumns count="4">
    <tableColumn id="1" xr3:uid="{00000000-0010-0000-4000-000001000000}" name="Item"/>
    <tableColumn id="2" xr3:uid="{00000000-0010-0000-4000-000002000000}" name="Mão de obra vinculada à execução contratual"/>
    <tableColumn id="3" xr3:uid="{00000000-0010-0000-4000-000003000000}" name="-"/>
    <tableColumn id="4" xr3:uid="{00000000-0010-0000-4000-000004000000}" name="Valor"/>
  </tableColumns>
  <tableStyleInfo name="None"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41000000}" name="Módulo153_5210924" displayName="Módulo153_5210924" ref="A24:D31" totalsRowCount="1">
  <autoFilter ref="A24:D30" xr:uid="{00000000-0009-0000-0100-000017000000}"/>
  <tableColumns count="4">
    <tableColumn id="1" xr3:uid="{00000000-0010-0000-4100-000001000000}" name="1" totalsRowLabel="Total"/>
    <tableColumn id="2" xr3:uid="{00000000-0010-0000-4100-000002000000}" name="Composição da Remuneração"/>
    <tableColumn id="3" xr3:uid="{00000000-0010-0000-4100-000003000000}" name="Comentário"/>
    <tableColumn id="4" xr3:uid="{00000000-0010-0000-4100-000004000000}" name="Valor" totalsRowFunction="custom">
      <totalsRowFormula>TRUNC((SUM(D25:D30)),2)</totalsRowFormula>
    </tableColumn>
  </tableColumns>
  <tableStyleInfo name="None"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42000000}" name="Submódulo2.356_5311225" displayName="Submódulo2.356_5311225" ref="A58:D66" totalsRowCount="1">
  <autoFilter ref="A58:D65" xr:uid="{00000000-0009-0000-0100-000018000000}"/>
  <tableColumns count="4">
    <tableColumn id="1" xr3:uid="{00000000-0010-0000-4200-000001000000}" name="2.3" totalsRowLabel="Total"/>
    <tableColumn id="2" xr3:uid="{00000000-0010-0000-4200-000002000000}" name="Benefícios Mensais e Diários"/>
    <tableColumn id="3" xr3:uid="{00000000-0010-0000-4200-000003000000}" name="Comentário"/>
    <tableColumn id="4" xr3:uid="{00000000-0010-0000-4200-000004000000}" name="Valor" totalsRowFunction="custom">
      <totalsRowFormula>TRUNC((SUM(D59:D65)),2)</totalsRowFormula>
    </tableColumn>
  </tableColumns>
  <tableStyleInfo name="None"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43000000}" name="Submódulo2.154_6111126" displayName="Submódulo2.154_6111126" ref="A36:D39" totalsRowCount="1">
  <autoFilter ref="A36:D38" xr:uid="{00000000-0009-0000-0100-000019000000}"/>
  <tableColumns count="4">
    <tableColumn id="1" xr3:uid="{00000000-0010-0000-4300-000001000000}" name="2.1" totalsRowLabel="Total"/>
    <tableColumn id="2" xr3:uid="{00000000-0010-0000-4300-000002000000}" name="13º (décimo terceiro) Salário, Férias e Adicional de Férias"/>
    <tableColumn id="3" xr3:uid="{00000000-0010-0000-4300-000003000000}" name="Percentual"/>
    <tableColumn id="4" xr3:uid="{00000000-0010-0000-4300-000004000000}" name="Valor" totalsRowFunction="custom">
      <totalsRowFormula>TRUNC((SUM(D37:D38)),2)</totalsRowFormula>
    </tableColumn>
  </tableColumns>
  <tableStyleInfo name="None"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44000000}" name="Table452_5610627" displayName="Table452_5610627" ref="A16:D21" totalsRowShown="0">
  <tableColumns count="4">
    <tableColumn id="1" xr3:uid="{00000000-0010-0000-4400-000001000000}" name="Item"/>
    <tableColumn id="2" xr3:uid="{00000000-0010-0000-4400-000002000000}" name="Descrição"/>
    <tableColumn id="3" xr3:uid="{00000000-0010-0000-4400-000003000000}" name="Comentário"/>
    <tableColumn id="4" xr3:uid="{00000000-0010-0000-4400-000004000000}" name="Valor"/>
  </tableColumns>
  <tableStyleInfo name="Non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06000000}" name="Módulo324" displayName="Módulo324" ref="A69:D76" totalsRowCount="1">
  <autoFilter ref="A69:D75" xr:uid="{00000000-0009-0000-0100-000039000000}"/>
  <tableColumns count="4">
    <tableColumn id="1" xr3:uid="{00000000-0010-0000-0600-000001000000}" name="3" totalsRowLabel="Total"/>
    <tableColumn id="2" xr3:uid="{00000000-0010-0000-0600-000002000000}" name="Provisão para Rescisão"/>
    <tableColumn id="3" xr3:uid="{00000000-0010-0000-0600-000003000000}" name="Comentário"/>
    <tableColumn id="4" xr3:uid="{00000000-0010-0000-0600-000004000000}" name="Valor" totalsRowFunction="sum"/>
  </tableColumns>
  <tableStyleInfo name="TableStyleMedium14"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45000000}" name="Módulo663_5910528" displayName="Módulo663_5910528" ref="A129:D136" totalsRowCount="1">
  <tableColumns count="4">
    <tableColumn id="1" xr3:uid="{00000000-0010-0000-4500-000001000000}" name="6" totalsRowLabel="Total" totalsRowDxfId="11"/>
    <tableColumn id="2" xr3:uid="{00000000-0010-0000-4500-000002000000}" name="Custos Indiretos, Tributos e Lucro" totalsRowDxfId="10"/>
    <tableColumn id="3" xr3:uid="{00000000-0010-0000-4500-000003000000}" name="Percentual" totalsRowDxfId="9"/>
    <tableColumn id="4" xr3:uid="{00000000-0010-0000-4500-000004000000}" name="Valor" totalsRowFunction="custom" totalsRowDxfId="8">
      <totalsRowFormula>SUM(D130:D132)</totalsRowFormula>
    </tableColumn>
  </tableColumns>
  <tableStyleInfo name="None"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46000000}" name="Módulo562_5811629" displayName="Módulo562_5811629" ref="A113:D119" totalsRowCount="1">
  <autoFilter ref="A113:D118" xr:uid="{00000000-0009-0000-0100-00001C000000}"/>
  <tableColumns count="4">
    <tableColumn id="1" xr3:uid="{00000000-0010-0000-4600-000001000000}" name="5" totalsRowLabel="Total" totalsRowDxfId="31"/>
    <tableColumn id="2" xr3:uid="{00000000-0010-0000-4600-000002000000}" name="Insumos Diversos" totalsRowDxfId="30"/>
    <tableColumn id="3" xr3:uid="{00000000-0010-0000-4600-000003000000}" name="Comentário" totalsRowDxfId="29"/>
    <tableColumn id="4" xr3:uid="{00000000-0010-0000-4600-000004000000}" name="Valor" totalsRowFunction="custom" totalsRowDxfId="28">
      <totalsRowFormula>TRUNC(SUM(D114:D118),2)</totalsRowFormula>
    </tableColumn>
  </tableColumns>
  <tableStyleInfo name="None"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47000000}" name="Submódulo4.260_5510730" displayName="Submódulo4.260_5510730" ref="A102:D104" totalsRowCount="1">
  <autoFilter ref="A102:D103" xr:uid="{00000000-0009-0000-0100-00001D000000}"/>
  <tableColumns count="4">
    <tableColumn id="1" xr3:uid="{00000000-0010-0000-4700-000001000000}" name="4.2" totalsRowLabel="Total"/>
    <tableColumn id="2" xr3:uid="{00000000-0010-0000-4700-000002000000}" name="Substituto na Intrajornada "/>
    <tableColumn id="3" xr3:uid="{00000000-0010-0000-4700-000003000000}" name="Comentário"/>
    <tableColumn id="4" xr3:uid="{00000000-0010-0000-4700-000004000000}" name="Valor" totalsRowFunction="custom">
      <totalsRowFormula>D103</totalsRowFormula>
    </tableColumn>
  </tableColumns>
  <tableStyleInfo name="None"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48000000}" name="Table46" displayName="Table46" ref="A3:F83">
  <autoFilter ref="A3:F83" xr:uid="{00000000-000C-0000-FFFF-FFFF48000000}"/>
  <sortState xmlns:xlrd2="http://schemas.microsoft.com/office/spreadsheetml/2017/richdata2" ref="A4:F82">
    <sortCondition ref="B3:B82"/>
  </sortState>
  <tableColumns count="6">
    <tableColumn id="1" xr3:uid="{00000000-0010-0000-4800-000001000000}" name="ITEM" totalsRowLabel="46" dataDxfId="27"/>
    <tableColumn id="2" xr3:uid="{00000000-0010-0000-4800-000002000000}" name="DESCRIÇÃO" totalsRowLabel="Refil para saboneteira em ABS ALTO IMPACTO para Álcool Gel ou Sabonete Líquido em Sachê ou Refil 5-J7AI" dataDxfId="26"/>
    <tableColumn id="3" xr3:uid="{00000000-0010-0000-4800-000003000000}" name="UNIDADE" dataDxfId="25"/>
    <tableColumn id="4" xr3:uid="{00000000-0010-0000-4800-000004000000}" name="  VALOR UNITÁRIO ESTIMADO (R$) " dataDxfId="24"/>
    <tableColumn id="5" xr3:uid="{00000000-0010-0000-4800-000005000000}" name="QUANTIDADE ANUAL" dataDxfId="23"/>
    <tableColumn id="6" xr3:uid="{00000000-0010-0000-4800-000006000000}" name="VALOR TOTAL  (R$)" dataDxfId="22"/>
  </tableColumns>
  <tableStyleInfo name="TableStyleMedium14"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49000000}" name="Table39" displayName="Table39" ref="A2:G21" totalsRowCount="1">
  <autoFilter ref="A2:G20" xr:uid="{00000000-0009-0000-0100-000010000000}"/>
  <tableColumns count="7">
    <tableColumn id="1" xr3:uid="{00000000-0010-0000-4900-000001000000}" name="Item" totalsRowLabel="Total"/>
    <tableColumn id="2" xr3:uid="{00000000-0010-0000-4900-000002000000}" name="Descrição" dataDxfId="21"/>
    <tableColumn id="3" xr3:uid="{00000000-0010-0000-4900-000003000000}" name="Quantidade"/>
    <tableColumn id="4" xr3:uid="{00000000-0010-0000-4900-000004000000}" name="Ki" totalsRowDxfId="20"/>
    <tableColumn id="5" xr3:uid="{00000000-0010-0000-4900-000005000000}" name="Preço Homem -Mês (Servente)" totalsRowDxfId="19"/>
    <tableColumn id="6" xr3:uid="{00000000-0010-0000-4900-000006000000}" name="Preço Homem -Mês (Encarregado)" totalsRowDxfId="18"/>
    <tableColumn id="7" xr3:uid="{00000000-0010-0000-4900-000007000000}" name="Preço m²" dataDxfId="17" totalsRowDxfId="16"/>
  </tableColumns>
  <tableStyleInfo name="TableStyleMedium1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07000000}" name="Submódulo4.125" displayName="Submódulo4.125" ref="A89:D96" totalsRowCount="1">
  <autoFilter ref="A89:D95" xr:uid="{00000000-0009-0000-0100-00003A000000}"/>
  <tableColumns count="4">
    <tableColumn id="1" xr3:uid="{00000000-0010-0000-0700-000001000000}" name="4.1" totalsRowLabel="Total"/>
    <tableColumn id="2" xr3:uid="{00000000-0010-0000-0700-000002000000}" name="Substituto nas Ausências Legais"/>
    <tableColumn id="3" xr3:uid="{00000000-0010-0000-0700-000003000000}" name="Dias de ausência" totalsRowFunction="sum"/>
    <tableColumn id="4" xr3:uid="{00000000-0010-0000-0700-000004000000}" name="Valor" totalsRowFunction="sum"/>
  </tableColumns>
  <tableStyleInfo name="TableStyleMedium1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08000000}" name="Submódulo4.226" displayName="Submódulo4.226" ref="A105:D107" totalsRowCount="1">
  <autoFilter ref="A105:D106" xr:uid="{00000000-0009-0000-0100-00003B000000}"/>
  <tableColumns count="4">
    <tableColumn id="1" xr3:uid="{00000000-0010-0000-0800-000001000000}" name="4.2" totalsRowLabel="Total"/>
    <tableColumn id="2" xr3:uid="{00000000-0010-0000-0800-000002000000}" name="Substituto na Intrajornada "/>
    <tableColumn id="3" xr3:uid="{00000000-0010-0000-0800-000003000000}" name="Comentário"/>
    <tableColumn id="4" xr3:uid="{00000000-0010-0000-0800-000004000000}" name="Valor" totalsRowFunction="sum"/>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comments" Target="../comments1.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1" Type="http://schemas.openxmlformats.org/officeDocument/2006/relationships/vmlDrawing" Target="../drawings/vmlDrawing1.vml"/><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10" Type="http://schemas.openxmlformats.org/officeDocument/2006/relationships/table" Target="../tables/table9.xml"/><Relationship Id="rId19" Type="http://schemas.openxmlformats.org/officeDocument/2006/relationships/table" Target="../tables/table18.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74.xml"/><Relationship Id="rId2" Type="http://schemas.openxmlformats.org/officeDocument/2006/relationships/vmlDrawing" Target="../drawings/vmlDrawing4.v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8" Type="http://schemas.openxmlformats.org/officeDocument/2006/relationships/table" Target="../tables/table30.xml"/><Relationship Id="rId13" Type="http://schemas.openxmlformats.org/officeDocument/2006/relationships/table" Target="../tables/table35.xml"/><Relationship Id="rId18" Type="http://schemas.openxmlformats.org/officeDocument/2006/relationships/table" Target="../tables/table40.xml"/><Relationship Id="rId3" Type="http://schemas.openxmlformats.org/officeDocument/2006/relationships/table" Target="../tables/table25.xml"/><Relationship Id="rId21" Type="http://schemas.openxmlformats.org/officeDocument/2006/relationships/table" Target="../tables/table43.xml"/><Relationship Id="rId7" Type="http://schemas.openxmlformats.org/officeDocument/2006/relationships/table" Target="../tables/table29.xml"/><Relationship Id="rId12" Type="http://schemas.openxmlformats.org/officeDocument/2006/relationships/table" Target="../tables/table34.xml"/><Relationship Id="rId17" Type="http://schemas.openxmlformats.org/officeDocument/2006/relationships/table" Target="../tables/table39.xml"/><Relationship Id="rId25" Type="http://schemas.openxmlformats.org/officeDocument/2006/relationships/comments" Target="../comments2.xml"/><Relationship Id="rId2" Type="http://schemas.openxmlformats.org/officeDocument/2006/relationships/table" Target="../tables/table24.xml"/><Relationship Id="rId16" Type="http://schemas.openxmlformats.org/officeDocument/2006/relationships/table" Target="../tables/table38.xml"/><Relationship Id="rId20" Type="http://schemas.openxmlformats.org/officeDocument/2006/relationships/table" Target="../tables/table42.xml"/><Relationship Id="rId1" Type="http://schemas.openxmlformats.org/officeDocument/2006/relationships/vmlDrawing" Target="../drawings/vmlDrawing2.vml"/><Relationship Id="rId6" Type="http://schemas.openxmlformats.org/officeDocument/2006/relationships/table" Target="../tables/table28.xml"/><Relationship Id="rId11" Type="http://schemas.openxmlformats.org/officeDocument/2006/relationships/table" Target="../tables/table33.xml"/><Relationship Id="rId24" Type="http://schemas.openxmlformats.org/officeDocument/2006/relationships/table" Target="../tables/table46.xml"/><Relationship Id="rId5" Type="http://schemas.openxmlformats.org/officeDocument/2006/relationships/table" Target="../tables/table27.xml"/><Relationship Id="rId15" Type="http://schemas.openxmlformats.org/officeDocument/2006/relationships/table" Target="../tables/table37.xml"/><Relationship Id="rId23" Type="http://schemas.openxmlformats.org/officeDocument/2006/relationships/table" Target="../tables/table45.xml"/><Relationship Id="rId10" Type="http://schemas.openxmlformats.org/officeDocument/2006/relationships/table" Target="../tables/table32.xml"/><Relationship Id="rId19" Type="http://schemas.openxmlformats.org/officeDocument/2006/relationships/table" Target="../tables/table41.xml"/><Relationship Id="rId4" Type="http://schemas.openxmlformats.org/officeDocument/2006/relationships/table" Target="../tables/table26.xml"/><Relationship Id="rId9" Type="http://schemas.openxmlformats.org/officeDocument/2006/relationships/table" Target="../tables/table31.xml"/><Relationship Id="rId14" Type="http://schemas.openxmlformats.org/officeDocument/2006/relationships/table" Target="../tables/table36.xml"/><Relationship Id="rId22" Type="http://schemas.openxmlformats.org/officeDocument/2006/relationships/table" Target="../tables/table4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table" Target="../tables/table53.xml"/><Relationship Id="rId13" Type="http://schemas.openxmlformats.org/officeDocument/2006/relationships/table" Target="../tables/table58.xml"/><Relationship Id="rId3" Type="http://schemas.openxmlformats.org/officeDocument/2006/relationships/table" Target="../tables/table48.xml"/><Relationship Id="rId7" Type="http://schemas.openxmlformats.org/officeDocument/2006/relationships/table" Target="../tables/table52.xml"/><Relationship Id="rId12" Type="http://schemas.openxmlformats.org/officeDocument/2006/relationships/table" Target="../tables/table57.xml"/><Relationship Id="rId2" Type="http://schemas.openxmlformats.org/officeDocument/2006/relationships/table" Target="../tables/table47.xml"/><Relationship Id="rId1" Type="http://schemas.openxmlformats.org/officeDocument/2006/relationships/printerSettings" Target="../printerSettings/printerSettings2.bin"/><Relationship Id="rId6" Type="http://schemas.openxmlformats.org/officeDocument/2006/relationships/table" Target="../tables/table51.xml"/><Relationship Id="rId11" Type="http://schemas.openxmlformats.org/officeDocument/2006/relationships/table" Target="../tables/table56.xml"/><Relationship Id="rId5" Type="http://schemas.openxmlformats.org/officeDocument/2006/relationships/table" Target="../tables/table50.xml"/><Relationship Id="rId10" Type="http://schemas.openxmlformats.org/officeDocument/2006/relationships/table" Target="../tables/table55.xml"/><Relationship Id="rId4" Type="http://schemas.openxmlformats.org/officeDocument/2006/relationships/table" Target="../tables/table49.xml"/><Relationship Id="rId9" Type="http://schemas.openxmlformats.org/officeDocument/2006/relationships/table" Target="../tables/table54.xml"/><Relationship Id="rId14" Type="http://schemas.openxmlformats.org/officeDocument/2006/relationships/table" Target="../tables/table59.xml"/></Relationships>
</file>

<file path=xl/worksheets/_rels/sheet5.xml.rels><?xml version="1.0" encoding="UTF-8" standalone="yes"?>
<Relationships xmlns="http://schemas.openxmlformats.org/package/2006/relationships"><Relationship Id="rId8" Type="http://schemas.openxmlformats.org/officeDocument/2006/relationships/table" Target="../tables/table66.xml"/><Relationship Id="rId13" Type="http://schemas.openxmlformats.org/officeDocument/2006/relationships/table" Target="../tables/table71.xml"/><Relationship Id="rId3" Type="http://schemas.openxmlformats.org/officeDocument/2006/relationships/table" Target="../tables/table61.xml"/><Relationship Id="rId7" Type="http://schemas.openxmlformats.org/officeDocument/2006/relationships/table" Target="../tables/table65.xml"/><Relationship Id="rId12" Type="http://schemas.openxmlformats.org/officeDocument/2006/relationships/table" Target="../tables/table70.xml"/><Relationship Id="rId2" Type="http://schemas.openxmlformats.org/officeDocument/2006/relationships/table" Target="../tables/table60.xml"/><Relationship Id="rId1" Type="http://schemas.openxmlformats.org/officeDocument/2006/relationships/printerSettings" Target="../printerSettings/printerSettings3.bin"/><Relationship Id="rId6" Type="http://schemas.openxmlformats.org/officeDocument/2006/relationships/table" Target="../tables/table64.xml"/><Relationship Id="rId11" Type="http://schemas.openxmlformats.org/officeDocument/2006/relationships/table" Target="../tables/table69.xml"/><Relationship Id="rId5" Type="http://schemas.openxmlformats.org/officeDocument/2006/relationships/table" Target="../tables/table63.xml"/><Relationship Id="rId10" Type="http://schemas.openxmlformats.org/officeDocument/2006/relationships/table" Target="../tables/table68.xml"/><Relationship Id="rId4" Type="http://schemas.openxmlformats.org/officeDocument/2006/relationships/table" Target="../tables/table62.xml"/><Relationship Id="rId9" Type="http://schemas.openxmlformats.org/officeDocument/2006/relationships/table" Target="../tables/table67.xml"/><Relationship Id="rId14" Type="http://schemas.openxmlformats.org/officeDocument/2006/relationships/table" Target="../tables/table7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7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50"/>
  <sheetViews>
    <sheetView showGridLines="0" topLeftCell="A125" zoomScale="85" zoomScaleSheetLayoutView="100" workbookViewId="0">
      <selection activeCell="D150" sqref="D150"/>
    </sheetView>
  </sheetViews>
  <sheetFormatPr defaultColWidth="9" defaultRowHeight="15" outlineLevelRow="1" x14ac:dyDescent="0.25"/>
  <cols>
    <col min="1" max="1" width="12.42578125" customWidth="1"/>
    <col min="2" max="2" width="76.42578125" customWidth="1"/>
    <col min="3" max="3" width="28.42578125" customWidth="1"/>
    <col min="4" max="4" width="27.42578125" customWidth="1"/>
    <col min="6" max="6" width="32.7109375" customWidth="1"/>
    <col min="7" max="7" width="13" customWidth="1"/>
  </cols>
  <sheetData>
    <row r="1" spans="1:21" x14ac:dyDescent="0.25">
      <c r="A1" s="223" t="s">
        <v>0</v>
      </c>
      <c r="B1" s="223"/>
      <c r="C1" s="223"/>
      <c r="D1" s="223"/>
      <c r="F1" s="224" t="s">
        <v>1</v>
      </c>
      <c r="G1" s="224"/>
      <c r="H1" s="64"/>
      <c r="I1" s="64"/>
      <c r="J1" s="64"/>
      <c r="K1" s="64"/>
      <c r="L1" s="64"/>
      <c r="M1" s="64"/>
      <c r="N1" s="64"/>
      <c r="O1" s="64"/>
      <c r="P1" s="64"/>
      <c r="Q1" s="64"/>
      <c r="R1" s="64"/>
      <c r="S1" s="64"/>
      <c r="T1" s="64"/>
      <c r="U1" s="64"/>
    </row>
    <row r="2" spans="1:21" x14ac:dyDescent="0.25">
      <c r="A2" s="3" t="s">
        <v>2</v>
      </c>
      <c r="B2" t="s">
        <v>3</v>
      </c>
      <c r="C2" s="3" t="s">
        <v>4</v>
      </c>
      <c r="D2" s="3" t="s">
        <v>5</v>
      </c>
      <c r="F2" t="s">
        <v>3</v>
      </c>
      <c r="G2" t="s">
        <v>5</v>
      </c>
      <c r="H2" s="64"/>
      <c r="I2" s="64"/>
      <c r="J2" s="64"/>
      <c r="K2" s="64"/>
      <c r="L2" s="64"/>
      <c r="M2" s="64"/>
      <c r="N2" s="64"/>
      <c r="O2" s="64"/>
      <c r="P2" s="64"/>
      <c r="Q2" s="64"/>
      <c r="R2" s="64"/>
      <c r="S2" s="64"/>
      <c r="T2" s="64"/>
      <c r="U2" s="64"/>
    </row>
    <row r="3" spans="1:21" x14ac:dyDescent="0.25">
      <c r="A3" s="3">
        <v>1</v>
      </c>
      <c r="B3" t="s">
        <v>6</v>
      </c>
      <c r="C3" s="3"/>
      <c r="D3" s="3" t="s">
        <v>7</v>
      </c>
      <c r="F3" t="s">
        <v>8</v>
      </c>
      <c r="G3" s="65">
        <v>3.8</v>
      </c>
      <c r="H3" s="64"/>
      <c r="I3" s="64"/>
      <c r="J3" s="64"/>
      <c r="K3" s="64"/>
      <c r="L3" s="64"/>
      <c r="M3" s="64"/>
      <c r="N3" s="64"/>
      <c r="O3" s="64"/>
      <c r="P3" s="64"/>
      <c r="Q3" s="64"/>
      <c r="R3" s="64"/>
      <c r="S3" s="64"/>
      <c r="T3" s="64"/>
      <c r="U3" s="64"/>
    </row>
    <row r="4" spans="1:21" x14ac:dyDescent="0.25">
      <c r="A4" s="3">
        <v>2</v>
      </c>
      <c r="B4" t="s">
        <v>9</v>
      </c>
      <c r="C4" s="3"/>
      <c r="D4" s="3" t="s">
        <v>10</v>
      </c>
      <c r="F4" t="s">
        <v>11</v>
      </c>
      <c r="G4" s="65">
        <v>14</v>
      </c>
      <c r="H4" s="64"/>
      <c r="I4" s="64"/>
      <c r="J4" s="64"/>
      <c r="K4" s="64"/>
      <c r="L4" s="64"/>
      <c r="M4" s="64"/>
      <c r="N4" s="64"/>
      <c r="O4" s="64"/>
      <c r="P4" s="64"/>
      <c r="Q4" s="64"/>
      <c r="R4" s="64"/>
      <c r="S4" s="64"/>
      <c r="T4" s="64"/>
      <c r="U4" s="64"/>
    </row>
    <row r="5" spans="1:21" x14ac:dyDescent="0.25">
      <c r="A5" s="3">
        <v>3</v>
      </c>
      <c r="B5" t="s">
        <v>12</v>
      </c>
      <c r="C5" s="3" t="s">
        <v>13</v>
      </c>
      <c r="D5" s="66">
        <v>1002.88</v>
      </c>
      <c r="F5" t="s">
        <v>14</v>
      </c>
      <c r="G5" s="67">
        <v>22</v>
      </c>
      <c r="H5" s="64"/>
      <c r="I5" s="64"/>
      <c r="J5" s="64"/>
      <c r="K5" s="64"/>
      <c r="L5" s="64"/>
      <c r="M5" s="64"/>
      <c r="N5" s="64"/>
      <c r="O5" s="64"/>
      <c r="P5" s="64"/>
      <c r="Q5" s="64"/>
      <c r="R5" s="64"/>
      <c r="S5" s="64"/>
      <c r="T5" s="64"/>
      <c r="U5" s="64"/>
    </row>
    <row r="6" spans="1:21" x14ac:dyDescent="0.25">
      <c r="A6" s="3">
        <v>4</v>
      </c>
      <c r="B6" t="s">
        <v>15</v>
      </c>
      <c r="C6" s="3" t="s">
        <v>16</v>
      </c>
      <c r="D6" s="3" t="s">
        <v>17</v>
      </c>
      <c r="F6" t="s">
        <v>18</v>
      </c>
      <c r="G6" s="68">
        <v>0.03</v>
      </c>
      <c r="H6" s="64"/>
      <c r="I6" s="64"/>
      <c r="J6" s="64"/>
      <c r="K6" s="64"/>
      <c r="L6" s="64"/>
      <c r="M6" s="64"/>
      <c r="N6" s="64"/>
      <c r="O6" s="64"/>
      <c r="P6" s="64"/>
      <c r="Q6" s="64"/>
      <c r="R6" s="64"/>
      <c r="S6" s="64"/>
      <c r="T6" s="64"/>
      <c r="U6" s="64"/>
    </row>
    <row r="7" spans="1:21" x14ac:dyDescent="0.25">
      <c r="A7" s="3">
        <v>5</v>
      </c>
      <c r="B7" t="s">
        <v>19</v>
      </c>
      <c r="C7" s="3"/>
      <c r="D7" s="3" t="s">
        <v>20</v>
      </c>
      <c r="H7" s="64"/>
      <c r="I7" s="64"/>
      <c r="J7" s="64"/>
      <c r="K7" s="64"/>
      <c r="L7" s="64"/>
      <c r="M7" s="64"/>
      <c r="N7" s="64"/>
      <c r="O7" s="64"/>
      <c r="P7" s="64"/>
      <c r="Q7" s="64"/>
      <c r="R7" s="64"/>
      <c r="S7" s="64"/>
      <c r="T7" s="64"/>
      <c r="U7" s="64"/>
    </row>
    <row r="8" spans="1:21" x14ac:dyDescent="0.25">
      <c r="F8" s="224" t="s">
        <v>21</v>
      </c>
      <c r="G8" s="224"/>
      <c r="H8" s="64"/>
      <c r="I8" s="64"/>
      <c r="J8" s="64"/>
      <c r="K8" s="64"/>
      <c r="L8" s="64"/>
      <c r="M8" s="64"/>
      <c r="N8" s="64"/>
      <c r="O8" s="64"/>
      <c r="P8" s="64"/>
      <c r="Q8" s="64"/>
      <c r="R8" s="64"/>
      <c r="S8" s="64"/>
      <c r="T8" s="64"/>
      <c r="U8" s="64"/>
    </row>
    <row r="9" spans="1:21" x14ac:dyDescent="0.25">
      <c r="A9" s="225" t="s">
        <v>22</v>
      </c>
      <c r="B9" s="225"/>
      <c r="C9" s="225"/>
      <c r="D9" s="225"/>
      <c r="F9" t="s">
        <v>23</v>
      </c>
      <c r="G9" t="s">
        <v>24</v>
      </c>
      <c r="H9" s="64"/>
      <c r="I9" s="64"/>
      <c r="J9" s="64"/>
      <c r="K9" s="64"/>
      <c r="L9" s="64"/>
      <c r="M9" s="64"/>
      <c r="N9" s="64"/>
      <c r="O9" s="64"/>
      <c r="P9" s="64"/>
      <c r="Q9" s="64"/>
      <c r="R9" s="64"/>
      <c r="S9" s="64"/>
      <c r="T9" s="64"/>
      <c r="U9" s="64"/>
    </row>
    <row r="10" spans="1:21" x14ac:dyDescent="0.25">
      <c r="A10" s="3" t="s">
        <v>25</v>
      </c>
      <c r="B10" t="s">
        <v>26</v>
      </c>
      <c r="C10" s="3" t="s">
        <v>4</v>
      </c>
      <c r="D10" s="3" t="s">
        <v>5</v>
      </c>
      <c r="F10" t="s">
        <v>27</v>
      </c>
      <c r="G10" s="69">
        <v>0.43369999999999997</v>
      </c>
      <c r="H10" s="64"/>
      <c r="I10" s="64"/>
      <c r="J10" s="64"/>
      <c r="K10" s="64"/>
      <c r="L10" s="64"/>
      <c r="M10" s="64"/>
      <c r="N10" s="64"/>
      <c r="O10" s="64"/>
      <c r="P10" s="64"/>
      <c r="Q10" s="64"/>
      <c r="R10" s="64"/>
      <c r="S10" s="64"/>
      <c r="T10" s="64"/>
      <c r="U10" s="64"/>
    </row>
    <row r="11" spans="1:21" x14ac:dyDescent="0.25">
      <c r="A11" s="3" t="s">
        <v>28</v>
      </c>
      <c r="B11" t="s">
        <v>29</v>
      </c>
      <c r="C11" s="3"/>
      <c r="D11" s="70">
        <f>Salário_Normativo_da_Categoria_Profissional</f>
        <v>1002.88</v>
      </c>
      <c r="F11" t="s">
        <v>30</v>
      </c>
      <c r="G11" s="69">
        <v>0.43369999999999997</v>
      </c>
      <c r="H11" s="64"/>
      <c r="I11" s="64"/>
      <c r="J11" s="64"/>
      <c r="K11" s="64"/>
      <c r="L11" s="64"/>
      <c r="M11" s="64"/>
      <c r="N11" s="64"/>
      <c r="O11" s="64"/>
      <c r="P11" s="64"/>
      <c r="Q11" s="64"/>
      <c r="R11" s="64"/>
      <c r="S11" s="64"/>
      <c r="T11" s="64"/>
      <c r="U11" s="64"/>
    </row>
    <row r="12" spans="1:21" x14ac:dyDescent="0.25">
      <c r="A12" s="3" t="s">
        <v>31</v>
      </c>
      <c r="B12" t="s">
        <v>32</v>
      </c>
      <c r="C12" s="3"/>
      <c r="D12" s="70"/>
      <c r="F12" t="s">
        <v>33</v>
      </c>
      <c r="G12" s="69">
        <v>2.18E-2</v>
      </c>
      <c r="H12" s="64"/>
      <c r="I12" s="64"/>
      <c r="J12" s="64"/>
      <c r="K12" s="64"/>
      <c r="L12" s="64"/>
      <c r="M12" s="64"/>
      <c r="N12" s="64"/>
      <c r="O12" s="64"/>
      <c r="P12" s="64"/>
      <c r="Q12" s="64"/>
      <c r="R12" s="64"/>
      <c r="S12" s="64"/>
      <c r="T12" s="64"/>
      <c r="U12" s="64"/>
    </row>
    <row r="13" spans="1:21" x14ac:dyDescent="0.25">
      <c r="A13" s="3" t="s">
        <v>34</v>
      </c>
      <c r="B13" t="s">
        <v>35</v>
      </c>
      <c r="C13" s="3"/>
      <c r="D13" s="70"/>
      <c r="H13" s="64"/>
      <c r="I13" s="64"/>
      <c r="J13" s="64"/>
      <c r="K13" s="64"/>
      <c r="L13" s="64"/>
      <c r="M13" s="64"/>
      <c r="N13" s="64"/>
      <c r="O13" s="64"/>
      <c r="P13" s="64"/>
      <c r="Q13" s="64"/>
      <c r="R13" s="64"/>
      <c r="S13" s="64"/>
      <c r="T13" s="64"/>
      <c r="U13" s="64"/>
    </row>
    <row r="14" spans="1:21" x14ac:dyDescent="0.25">
      <c r="A14" s="3" t="s">
        <v>36</v>
      </c>
      <c r="B14" t="s">
        <v>37</v>
      </c>
      <c r="C14" s="3"/>
      <c r="D14" s="70"/>
      <c r="F14" s="224" t="s">
        <v>38</v>
      </c>
      <c r="G14" s="224"/>
      <c r="H14" s="64"/>
      <c r="I14" s="64"/>
      <c r="J14" s="64"/>
      <c r="K14" s="64"/>
      <c r="L14" s="64"/>
      <c r="M14" s="64"/>
      <c r="N14" s="64"/>
      <c r="O14" s="64"/>
      <c r="P14" s="64"/>
      <c r="Q14" s="64"/>
      <c r="R14" s="64"/>
      <c r="S14" s="64"/>
      <c r="T14" s="64"/>
      <c r="U14" s="64"/>
    </row>
    <row r="15" spans="1:21" x14ac:dyDescent="0.25">
      <c r="A15" s="3" t="s">
        <v>39</v>
      </c>
      <c r="B15" t="s">
        <v>40</v>
      </c>
      <c r="C15" s="3"/>
      <c r="D15" s="70"/>
      <c r="F15" s="64" t="s">
        <v>3</v>
      </c>
      <c r="G15" s="64" t="s">
        <v>24</v>
      </c>
      <c r="H15" s="64"/>
      <c r="I15" s="64"/>
      <c r="J15" s="64"/>
      <c r="K15" s="64"/>
      <c r="L15" s="64"/>
      <c r="M15" s="64"/>
      <c r="N15" s="64"/>
      <c r="O15" s="64"/>
      <c r="P15" s="64"/>
      <c r="Q15" s="64"/>
      <c r="R15" s="64"/>
      <c r="S15" s="64"/>
      <c r="T15" s="64"/>
      <c r="U15" s="64"/>
    </row>
    <row r="16" spans="1:21" x14ac:dyDescent="0.25">
      <c r="A16" s="3" t="s">
        <v>41</v>
      </c>
      <c r="B16" t="s">
        <v>42</v>
      </c>
      <c r="C16" s="3"/>
      <c r="D16" s="70"/>
      <c r="F16" s="64" t="s">
        <v>43</v>
      </c>
      <c r="G16" s="71">
        <v>0.03</v>
      </c>
      <c r="H16" s="64"/>
      <c r="I16" s="64"/>
      <c r="J16" s="64"/>
      <c r="K16" s="64"/>
      <c r="L16" s="64"/>
      <c r="M16" s="64"/>
      <c r="N16" s="64"/>
      <c r="O16" s="64"/>
      <c r="P16" s="64"/>
      <c r="Q16" s="64"/>
      <c r="R16" s="64"/>
      <c r="S16" s="64"/>
      <c r="T16" s="64"/>
      <c r="U16" s="64"/>
    </row>
    <row r="17" spans="1:21" x14ac:dyDescent="0.25">
      <c r="A17" s="3" t="s">
        <v>44</v>
      </c>
      <c r="C17" s="3"/>
      <c r="D17" s="70">
        <f>SUBTOTAL(109,D11:D16)</f>
        <v>1002.88</v>
      </c>
      <c r="F17" s="64" t="s">
        <v>45</v>
      </c>
      <c r="G17" s="71">
        <v>6.7900000000000002E-2</v>
      </c>
      <c r="H17" s="64"/>
      <c r="I17" s="64"/>
      <c r="J17" s="64"/>
      <c r="K17" s="64"/>
      <c r="L17" s="64"/>
      <c r="M17" s="64"/>
      <c r="N17" s="64"/>
      <c r="O17" s="64"/>
      <c r="P17" s="64"/>
      <c r="Q17" s="64"/>
      <c r="R17" s="64"/>
      <c r="S17" s="64"/>
      <c r="T17" s="64"/>
      <c r="U17" s="64"/>
    </row>
    <row r="18" spans="1:21" x14ac:dyDescent="0.25">
      <c r="F18" s="64" t="s">
        <v>46</v>
      </c>
      <c r="G18" s="72">
        <v>1.6500000000000001E-2</v>
      </c>
      <c r="H18" s="64"/>
      <c r="I18" s="64"/>
      <c r="J18" s="64"/>
      <c r="K18" s="64"/>
      <c r="L18" s="64"/>
      <c r="M18" s="64"/>
      <c r="N18" s="64"/>
      <c r="O18" s="64"/>
      <c r="P18" s="64"/>
      <c r="Q18" s="64"/>
      <c r="R18" s="64"/>
      <c r="S18" s="64"/>
      <c r="T18" s="64"/>
      <c r="U18" s="64"/>
    </row>
    <row r="19" spans="1:21" x14ac:dyDescent="0.25">
      <c r="A19" s="222" t="s">
        <v>47</v>
      </c>
      <c r="B19" s="222"/>
      <c r="C19" s="222"/>
      <c r="D19" s="222"/>
      <c r="F19" s="64" t="s">
        <v>48</v>
      </c>
      <c r="G19" s="72">
        <v>7.5999999999999998E-2</v>
      </c>
      <c r="H19" s="64"/>
      <c r="I19" s="64"/>
      <c r="J19" s="64"/>
      <c r="K19" s="64"/>
      <c r="L19" s="64"/>
      <c r="M19" s="64"/>
      <c r="N19" s="64"/>
      <c r="O19" s="64"/>
      <c r="P19" s="64"/>
      <c r="Q19" s="64"/>
      <c r="R19" s="64"/>
      <c r="S19" s="64"/>
      <c r="T19" s="64"/>
      <c r="U19" s="64"/>
    </row>
    <row r="20" spans="1:21" x14ac:dyDescent="0.25">
      <c r="A20" s="224" t="s">
        <v>49</v>
      </c>
      <c r="B20" s="224"/>
      <c r="C20" s="224"/>
      <c r="D20" s="224"/>
      <c r="F20" s="64" t="s">
        <v>50</v>
      </c>
      <c r="G20" s="72">
        <v>0.05</v>
      </c>
      <c r="H20" s="64"/>
      <c r="I20" s="64"/>
      <c r="J20" s="64"/>
      <c r="K20" s="64"/>
      <c r="L20" s="64"/>
      <c r="M20" s="64"/>
      <c r="N20" s="64"/>
      <c r="O20" s="64"/>
      <c r="P20" s="64"/>
      <c r="Q20" s="64"/>
      <c r="R20" s="64"/>
      <c r="S20" s="64"/>
      <c r="T20" s="64"/>
      <c r="U20" s="64"/>
    </row>
    <row r="21" spans="1:21" x14ac:dyDescent="0.25">
      <c r="A21" s="3" t="s">
        <v>51</v>
      </c>
      <c r="B21" t="s">
        <v>52</v>
      </c>
      <c r="C21" s="3" t="s">
        <v>4</v>
      </c>
      <c r="D21" s="3" t="s">
        <v>5</v>
      </c>
      <c r="F21" s="64"/>
      <c r="G21" s="64"/>
      <c r="H21" s="64"/>
      <c r="I21" s="64"/>
      <c r="J21" s="64"/>
      <c r="K21" s="64"/>
      <c r="L21" s="64"/>
      <c r="M21" s="64"/>
      <c r="N21" s="64"/>
      <c r="O21" s="64"/>
      <c r="P21" s="64"/>
      <c r="Q21" s="64"/>
      <c r="R21" s="64"/>
      <c r="S21" s="64"/>
      <c r="T21" s="64"/>
      <c r="U21" s="64"/>
    </row>
    <row r="22" spans="1:21" x14ac:dyDescent="0.25">
      <c r="A22" s="3" t="s">
        <v>28</v>
      </c>
      <c r="B22" t="s">
        <v>53</v>
      </c>
      <c r="D22" s="70">
        <f>Servente!$D$17/12</f>
        <v>83.573333333333338</v>
      </c>
      <c r="F22" s="224" t="s">
        <v>54</v>
      </c>
      <c r="G22" s="224"/>
      <c r="H22" s="64"/>
      <c r="I22" s="64"/>
      <c r="J22" s="64"/>
      <c r="K22" s="64"/>
      <c r="L22" s="64"/>
      <c r="M22" s="64"/>
      <c r="N22" s="64"/>
      <c r="O22" s="64"/>
      <c r="P22" s="64"/>
      <c r="Q22" s="64"/>
      <c r="R22" s="64"/>
      <c r="S22" s="64"/>
      <c r="T22" s="64"/>
      <c r="U22" s="64"/>
    </row>
    <row r="23" spans="1:21" x14ac:dyDescent="0.25">
      <c r="A23" s="3" t="s">
        <v>31</v>
      </c>
      <c r="B23" t="s">
        <v>55</v>
      </c>
      <c r="D23" s="70">
        <f>(Servente!$D$17/12)*(1/3)</f>
        <v>27.857777777777777</v>
      </c>
      <c r="E23" s="8"/>
      <c r="F23" s="3" t="s">
        <v>3</v>
      </c>
      <c r="G23" s="3" t="s">
        <v>5</v>
      </c>
      <c r="H23" s="64"/>
      <c r="I23" s="64"/>
      <c r="J23" s="64"/>
      <c r="K23" s="64"/>
      <c r="L23" s="64"/>
      <c r="M23" s="64"/>
      <c r="N23" s="64"/>
      <c r="O23" s="64"/>
      <c r="P23" s="64"/>
      <c r="Q23" s="64"/>
      <c r="R23" s="64"/>
      <c r="S23" s="64"/>
      <c r="T23" s="64"/>
      <c r="U23" s="64"/>
    </row>
    <row r="24" spans="1:21" x14ac:dyDescent="0.25">
      <c r="A24" s="3" t="s">
        <v>44</v>
      </c>
      <c r="D24" s="70">
        <f>SUBTOTAL(109,D22:D23)</f>
        <v>111.43111111111111</v>
      </c>
      <c r="F24" s="64" t="s">
        <v>56</v>
      </c>
      <c r="G24" s="73">
        <f>((D17+D24+(D17/12))*(100%+C41))/30</f>
        <v>54.62353066666666</v>
      </c>
      <c r="H24" s="64"/>
      <c r="I24" s="64"/>
      <c r="J24" s="64"/>
      <c r="K24" s="64"/>
      <c r="L24" s="64"/>
      <c r="M24" s="64"/>
      <c r="N24" s="64"/>
      <c r="O24" s="64"/>
      <c r="P24" s="64"/>
      <c r="Q24" s="64"/>
      <c r="R24" s="64"/>
      <c r="S24" s="64"/>
      <c r="T24" s="64"/>
      <c r="U24" s="64"/>
    </row>
    <row r="25" spans="1:21" x14ac:dyDescent="0.25">
      <c r="A25" s="3"/>
      <c r="D25" s="70"/>
      <c r="F25" s="64" t="s">
        <v>57</v>
      </c>
      <c r="G25" s="73">
        <f>((D17*(1+(1/3))*(100%+C41))/12)/30</f>
        <v>5.0812586666666659</v>
      </c>
      <c r="H25" s="64"/>
      <c r="I25" s="64"/>
      <c r="J25" s="64"/>
      <c r="K25" s="64"/>
      <c r="L25" s="64"/>
      <c r="M25" s="64"/>
      <c r="N25" s="64"/>
      <c r="O25" s="64"/>
      <c r="P25" s="64"/>
      <c r="Q25" s="64"/>
      <c r="R25" s="64"/>
      <c r="S25" s="64"/>
      <c r="T25" s="64"/>
      <c r="U25" s="64"/>
    </row>
    <row r="26" spans="1:21" x14ac:dyDescent="0.25">
      <c r="A26" s="227" t="s">
        <v>58</v>
      </c>
      <c r="B26" s="227"/>
      <c r="C26" s="227"/>
      <c r="D26" s="227"/>
      <c r="F26" s="64"/>
      <c r="G26" s="64"/>
      <c r="H26" s="64"/>
      <c r="I26" s="64"/>
      <c r="J26" s="64"/>
      <c r="K26" s="64"/>
      <c r="L26" s="64"/>
      <c r="M26" s="64"/>
      <c r="N26" s="64"/>
      <c r="O26" s="64"/>
      <c r="P26" s="64"/>
      <c r="Q26" s="64"/>
      <c r="R26" s="64"/>
      <c r="S26" s="64"/>
      <c r="T26" s="64"/>
      <c r="U26" s="64"/>
    </row>
    <row r="27" spans="1:21" x14ac:dyDescent="0.25">
      <c r="A27" s="74" t="s">
        <v>2</v>
      </c>
      <c r="B27" s="74" t="s">
        <v>59</v>
      </c>
      <c r="C27" s="74" t="s">
        <v>60</v>
      </c>
      <c r="D27" s="75" t="s">
        <v>61</v>
      </c>
      <c r="F27" s="64"/>
      <c r="G27" s="64"/>
      <c r="H27" s="64"/>
      <c r="I27" s="64"/>
      <c r="J27" s="64"/>
      <c r="K27" s="64"/>
      <c r="L27" s="64"/>
      <c r="M27" s="64"/>
      <c r="N27" s="64"/>
      <c r="O27" s="64"/>
      <c r="P27" s="64"/>
      <c r="Q27" s="64"/>
      <c r="R27" s="64"/>
      <c r="S27" s="64"/>
      <c r="T27" s="64"/>
      <c r="U27" s="64"/>
    </row>
    <row r="28" spans="1:21" ht="30" x14ac:dyDescent="0.25">
      <c r="A28" s="4" t="s">
        <v>28</v>
      </c>
      <c r="B28" s="76" t="s">
        <v>62</v>
      </c>
      <c r="C28" s="2" t="s">
        <v>63</v>
      </c>
      <c r="D28" s="76" t="s">
        <v>64</v>
      </c>
      <c r="F28" s="64"/>
      <c r="G28" s="64"/>
      <c r="H28" s="64"/>
      <c r="I28" s="64"/>
      <c r="J28" s="64"/>
      <c r="K28" s="64"/>
      <c r="L28" s="64"/>
      <c r="M28" s="64"/>
      <c r="N28" s="64"/>
      <c r="O28" s="64"/>
      <c r="P28" s="64"/>
      <c r="Q28" s="64"/>
      <c r="R28" s="64"/>
      <c r="S28" s="64"/>
      <c r="T28" s="64"/>
      <c r="U28" s="64"/>
    </row>
    <row r="29" spans="1:21" x14ac:dyDescent="0.25">
      <c r="A29" s="4" t="s">
        <v>31</v>
      </c>
      <c r="B29" s="77" t="s">
        <v>55</v>
      </c>
      <c r="C29" s="2" t="s">
        <v>63</v>
      </c>
      <c r="D29" s="76" t="s">
        <v>65</v>
      </c>
      <c r="F29" s="64"/>
      <c r="G29" s="64"/>
      <c r="H29" s="64"/>
      <c r="I29" s="64"/>
      <c r="J29" s="64"/>
      <c r="K29" s="64"/>
      <c r="L29" s="64"/>
      <c r="M29" s="64"/>
      <c r="N29" s="64"/>
      <c r="O29" s="64"/>
      <c r="P29" s="64"/>
      <c r="Q29" s="64"/>
      <c r="R29" s="64"/>
      <c r="S29" s="64"/>
      <c r="T29" s="64"/>
      <c r="U29" s="64"/>
    </row>
    <row r="30" spans="1:21" x14ac:dyDescent="0.25">
      <c r="A30" s="3"/>
      <c r="B30" s="3"/>
      <c r="C30" s="78"/>
      <c r="F30" s="64"/>
      <c r="G30" s="64"/>
      <c r="H30" s="64"/>
      <c r="I30" s="64"/>
      <c r="J30" s="64"/>
      <c r="K30" s="64"/>
      <c r="L30" s="64"/>
      <c r="M30" s="64"/>
      <c r="N30" s="64"/>
      <c r="O30" s="64"/>
      <c r="P30" s="64"/>
      <c r="Q30" s="64"/>
      <c r="R30" s="64"/>
      <c r="S30" s="64"/>
      <c r="T30" s="64"/>
      <c r="U30" s="64"/>
    </row>
    <row r="31" spans="1:21" x14ac:dyDescent="0.25">
      <c r="A31" s="224" t="s">
        <v>66</v>
      </c>
      <c r="B31" s="224"/>
      <c r="C31" s="224"/>
      <c r="D31" s="224"/>
    </row>
    <row r="32" spans="1:21" x14ac:dyDescent="0.25">
      <c r="A32" s="3" t="s">
        <v>67</v>
      </c>
      <c r="B32" t="s">
        <v>68</v>
      </c>
      <c r="C32" s="3" t="s">
        <v>24</v>
      </c>
      <c r="D32" s="3" t="s">
        <v>69</v>
      </c>
    </row>
    <row r="33" spans="1:4" x14ac:dyDescent="0.25">
      <c r="A33" s="3" t="s">
        <v>28</v>
      </c>
      <c r="B33" t="s">
        <v>70</v>
      </c>
      <c r="C33" s="79">
        <v>0.2</v>
      </c>
      <c r="D33" s="70">
        <f>C33*(Servente!$D$17+Servente!$D$24)</f>
        <v>222.86222222222224</v>
      </c>
    </row>
    <row r="34" spans="1:4" x14ac:dyDescent="0.25">
      <c r="A34" s="3" t="s">
        <v>31</v>
      </c>
      <c r="B34" t="s">
        <v>71</v>
      </c>
      <c r="C34" s="79">
        <v>2.5000000000000001E-2</v>
      </c>
      <c r="D34" s="70">
        <f>C34*(Servente!$D$17+Servente!$D$24)</f>
        <v>27.85777777777778</v>
      </c>
    </row>
    <row r="35" spans="1:4" x14ac:dyDescent="0.25">
      <c r="A35" s="3" t="s">
        <v>34</v>
      </c>
      <c r="B35" t="s">
        <v>72</v>
      </c>
      <c r="C35" s="79">
        <f>Servente!G6</f>
        <v>0.03</v>
      </c>
      <c r="D35" s="70">
        <f>C35*(Servente!$D$17+Servente!$D$24)</f>
        <v>33.429333333333332</v>
      </c>
    </row>
    <row r="36" spans="1:4" x14ac:dyDescent="0.25">
      <c r="A36" s="3" t="s">
        <v>36</v>
      </c>
      <c r="B36" t="s">
        <v>73</v>
      </c>
      <c r="C36" s="79">
        <v>1.4999999999999999E-2</v>
      </c>
      <c r="D36" s="70">
        <f>C36*(Servente!$D$17+Servente!$D$24)</f>
        <v>16.714666666666666</v>
      </c>
    </row>
    <row r="37" spans="1:4" x14ac:dyDescent="0.25">
      <c r="A37" s="3" t="s">
        <v>39</v>
      </c>
      <c r="B37" t="s">
        <v>74</v>
      </c>
      <c r="C37" s="79">
        <v>0.01</v>
      </c>
      <c r="D37" s="70">
        <f>C37*(Servente!$D$17+Servente!$D$24)</f>
        <v>11.143111111111111</v>
      </c>
    </row>
    <row r="38" spans="1:4" x14ac:dyDescent="0.25">
      <c r="A38" s="3" t="s">
        <v>41</v>
      </c>
      <c r="B38" t="s">
        <v>75</v>
      </c>
      <c r="C38" s="79">
        <v>6.0000000000000001E-3</v>
      </c>
      <c r="D38" s="70">
        <f>C38*(Servente!$D$17+Servente!$D$24)</f>
        <v>6.6858666666666666</v>
      </c>
    </row>
    <row r="39" spans="1:4" x14ac:dyDescent="0.25">
      <c r="A39" s="3" t="s">
        <v>76</v>
      </c>
      <c r="B39" t="s">
        <v>77</v>
      </c>
      <c r="C39" s="79">
        <v>2E-3</v>
      </c>
      <c r="D39" s="70">
        <f>C39*(Servente!$D$17+Servente!$D$24)</f>
        <v>2.2286222222222225</v>
      </c>
    </row>
    <row r="40" spans="1:4" x14ac:dyDescent="0.25">
      <c r="A40" s="3" t="s">
        <v>78</v>
      </c>
      <c r="B40" t="s">
        <v>79</v>
      </c>
      <c r="C40" s="79">
        <v>0.08</v>
      </c>
      <c r="D40" s="70">
        <f>C40*(Servente!$D$17+Servente!$D$24)</f>
        <v>89.144888888888886</v>
      </c>
    </row>
    <row r="41" spans="1:4" x14ac:dyDescent="0.25">
      <c r="A41" s="3" t="s">
        <v>44</v>
      </c>
      <c r="C41" s="80">
        <v>0.36799999999999999</v>
      </c>
      <c r="D41" s="70">
        <f>SUBTOTAL(109,D33:D40)</f>
        <v>410.0664888888889</v>
      </c>
    </row>
    <row r="42" spans="1:4" x14ac:dyDescent="0.25">
      <c r="A42" s="3"/>
      <c r="C42" s="80"/>
      <c r="D42" s="70"/>
    </row>
    <row r="43" spans="1:4" x14ac:dyDescent="0.25">
      <c r="A43" s="227" t="s">
        <v>80</v>
      </c>
      <c r="B43" s="227"/>
      <c r="C43" s="227"/>
      <c r="D43" s="227"/>
    </row>
    <row r="44" spans="1:4" x14ac:dyDescent="0.25">
      <c r="A44" s="74" t="s">
        <v>2</v>
      </c>
      <c r="B44" s="74" t="s">
        <v>59</v>
      </c>
      <c r="C44" s="74" t="s">
        <v>60</v>
      </c>
      <c r="D44" s="75" t="s">
        <v>61</v>
      </c>
    </row>
    <row r="45" spans="1:4" ht="30" x14ac:dyDescent="0.25">
      <c r="A45" s="4" t="s">
        <v>81</v>
      </c>
      <c r="B45" s="76" t="s">
        <v>68</v>
      </c>
      <c r="C45" s="76" t="s">
        <v>82</v>
      </c>
      <c r="D45" s="76" t="s">
        <v>83</v>
      </c>
    </row>
    <row r="47" spans="1:4" x14ac:dyDescent="0.25">
      <c r="A47" s="224" t="s">
        <v>84</v>
      </c>
      <c r="B47" s="224"/>
      <c r="C47" s="224"/>
      <c r="D47" s="224"/>
    </row>
    <row r="48" spans="1:4" x14ac:dyDescent="0.25">
      <c r="A48" s="3" t="s">
        <v>85</v>
      </c>
      <c r="B48" t="s">
        <v>86</v>
      </c>
      <c r="C48" s="3" t="s">
        <v>4</v>
      </c>
      <c r="D48" s="3" t="s">
        <v>5</v>
      </c>
    </row>
    <row r="49" spans="1:4" x14ac:dyDescent="0.25">
      <c r="A49" s="3" t="s">
        <v>28</v>
      </c>
      <c r="B49" t="s">
        <v>87</v>
      </c>
      <c r="D49" s="70">
        <v>107.02719999999999</v>
      </c>
    </row>
    <row r="50" spans="1:4" x14ac:dyDescent="0.25">
      <c r="A50" s="3" t="s">
        <v>31</v>
      </c>
      <c r="B50" t="s">
        <v>88</v>
      </c>
      <c r="D50" s="70">
        <f>(Servente!G4*Servente!G5)*80%</f>
        <v>246.4</v>
      </c>
    </row>
    <row r="51" spans="1:4" x14ac:dyDescent="0.25">
      <c r="A51" s="3" t="s">
        <v>34</v>
      </c>
      <c r="B51" t="s">
        <v>89</v>
      </c>
      <c r="D51" s="70"/>
    </row>
    <row r="52" spans="1:4" x14ac:dyDescent="0.25">
      <c r="A52" s="3" t="s">
        <v>36</v>
      </c>
      <c r="B52" t="s">
        <v>90</v>
      </c>
      <c r="C52" t="s">
        <v>91</v>
      </c>
      <c r="D52" s="70">
        <v>4</v>
      </c>
    </row>
    <row r="53" spans="1:4" x14ac:dyDescent="0.25">
      <c r="A53" s="3" t="s">
        <v>39</v>
      </c>
      <c r="B53" t="s">
        <v>92</v>
      </c>
      <c r="C53" t="s">
        <v>93</v>
      </c>
      <c r="D53" s="70">
        <v>15</v>
      </c>
    </row>
    <row r="54" spans="1:4" x14ac:dyDescent="0.25">
      <c r="A54" s="3" t="s">
        <v>44</v>
      </c>
      <c r="D54" s="70">
        <v>372.42720000000003</v>
      </c>
    </row>
    <row r="55" spans="1:4" x14ac:dyDescent="0.25">
      <c r="A55" s="3"/>
      <c r="D55" s="70"/>
    </row>
    <row r="56" spans="1:4" x14ac:dyDescent="0.25">
      <c r="A56" s="227" t="s">
        <v>94</v>
      </c>
      <c r="B56" s="227"/>
      <c r="C56" s="227"/>
      <c r="D56" s="227"/>
    </row>
    <row r="57" spans="1:4" x14ac:dyDescent="0.25">
      <c r="A57" s="74" t="s">
        <v>2</v>
      </c>
      <c r="B57" s="74" t="s">
        <v>59</v>
      </c>
      <c r="C57" s="74" t="s">
        <v>60</v>
      </c>
      <c r="D57" s="74" t="s">
        <v>61</v>
      </c>
    </row>
    <row r="58" spans="1:4" ht="45" x14ac:dyDescent="0.25">
      <c r="A58" s="4" t="s">
        <v>28</v>
      </c>
      <c r="B58" s="76" t="s">
        <v>87</v>
      </c>
      <c r="C58" s="2" t="s">
        <v>95</v>
      </c>
      <c r="D58" s="2" t="s">
        <v>96</v>
      </c>
    </row>
    <row r="59" spans="1:4" ht="30" x14ac:dyDescent="0.25">
      <c r="A59" s="4" t="s">
        <v>31</v>
      </c>
      <c r="B59" s="77" t="s">
        <v>88</v>
      </c>
      <c r="C59" s="2" t="s">
        <v>95</v>
      </c>
      <c r="D59" s="2" t="s">
        <v>97</v>
      </c>
    </row>
    <row r="60" spans="1:4" ht="19.5" customHeight="1" x14ac:dyDescent="0.25">
      <c r="A60" s="3"/>
      <c r="D60" s="70"/>
    </row>
    <row r="61" spans="1:4" x14ac:dyDescent="0.25">
      <c r="A61" s="224" t="s">
        <v>98</v>
      </c>
      <c r="B61" s="224"/>
      <c r="C61" s="224"/>
      <c r="D61" s="224"/>
    </row>
    <row r="62" spans="1:4" x14ac:dyDescent="0.25">
      <c r="A62" s="3" t="s">
        <v>99</v>
      </c>
      <c r="B62" t="s">
        <v>100</v>
      </c>
      <c r="C62" s="3" t="s">
        <v>4</v>
      </c>
      <c r="D62" s="3" t="s">
        <v>5</v>
      </c>
    </row>
    <row r="63" spans="1:4" x14ac:dyDescent="0.25">
      <c r="A63" s="3" t="s">
        <v>51</v>
      </c>
      <c r="B63" t="s">
        <v>52</v>
      </c>
      <c r="C63" s="3"/>
      <c r="D63" s="70">
        <f>Servente!$D$24</f>
        <v>111.43111111111111</v>
      </c>
    </row>
    <row r="64" spans="1:4" x14ac:dyDescent="0.25">
      <c r="A64" s="3" t="s">
        <v>67</v>
      </c>
      <c r="B64" t="s">
        <v>68</v>
      </c>
      <c r="C64" s="3"/>
      <c r="D64" s="70">
        <f>Servente!$D$41</f>
        <v>410.0664888888889</v>
      </c>
    </row>
    <row r="65" spans="1:4" x14ac:dyDescent="0.25">
      <c r="A65" s="3" t="s">
        <v>85</v>
      </c>
      <c r="B65" t="s">
        <v>86</v>
      </c>
      <c r="C65" s="3"/>
      <c r="D65" s="70">
        <f>Servente!$D$54</f>
        <v>372.42720000000003</v>
      </c>
    </row>
    <row r="66" spans="1:4" x14ac:dyDescent="0.25">
      <c r="A66" s="3" t="s">
        <v>44</v>
      </c>
      <c r="C66" s="3"/>
      <c r="D66" s="70">
        <f>SUBTOTAL(109,D63:D65)</f>
        <v>893.9248</v>
      </c>
    </row>
    <row r="68" spans="1:4" x14ac:dyDescent="0.25">
      <c r="A68" s="225" t="s">
        <v>101</v>
      </c>
      <c r="B68" s="225"/>
      <c r="C68" s="225"/>
      <c r="D68" s="225"/>
    </row>
    <row r="69" spans="1:4" x14ac:dyDescent="0.25">
      <c r="A69" s="3" t="s">
        <v>102</v>
      </c>
      <c r="B69" t="s">
        <v>103</v>
      </c>
      <c r="C69" s="3" t="s">
        <v>4</v>
      </c>
      <c r="D69" s="3" t="s">
        <v>5</v>
      </c>
    </row>
    <row r="70" spans="1:4" x14ac:dyDescent="0.25">
      <c r="A70" s="3" t="s">
        <v>28</v>
      </c>
      <c r="B70" t="s">
        <v>104</v>
      </c>
      <c r="D70" s="70">
        <f>((Servente!$D$17+D63+D65)/12)*G10</f>
        <v>53.73320046074074</v>
      </c>
    </row>
    <row r="71" spans="1:4" x14ac:dyDescent="0.25">
      <c r="A71" s="3" t="s">
        <v>31</v>
      </c>
      <c r="B71" t="s">
        <v>105</v>
      </c>
      <c r="D71" s="70">
        <f>(D40/12)*Servente!G10</f>
        <v>3.2218448592592588</v>
      </c>
    </row>
    <row r="72" spans="1:4" x14ac:dyDescent="0.25">
      <c r="A72" s="3" t="s">
        <v>34</v>
      </c>
      <c r="B72" t="s">
        <v>106</v>
      </c>
      <c r="D72" s="70">
        <f>D40*50%*Servente!G10</f>
        <v>19.331069155555554</v>
      </c>
    </row>
    <row r="73" spans="1:4" x14ac:dyDescent="0.25">
      <c r="A73" s="3" t="s">
        <v>36</v>
      </c>
      <c r="B73" t="s">
        <v>107</v>
      </c>
      <c r="D73" s="70">
        <f>((Servente!$D$17+Servente!$D$66)/12)*G11</f>
        <v>68.553686813333314</v>
      </c>
    </row>
    <row r="74" spans="1:4" x14ac:dyDescent="0.25">
      <c r="A74" s="3" t="s">
        <v>39</v>
      </c>
      <c r="B74" t="s">
        <v>108</v>
      </c>
      <c r="D74" s="70">
        <f>D40*50%*Servente!G11</f>
        <v>19.331069155555554</v>
      </c>
    </row>
    <row r="75" spans="1:4" x14ac:dyDescent="0.25">
      <c r="A75" s="3" t="s">
        <v>41</v>
      </c>
      <c r="B75" t="s">
        <v>109</v>
      </c>
      <c r="D75" s="70">
        <f>-D63*Servente!G12</f>
        <v>-2.4291982222222219</v>
      </c>
    </row>
    <row r="76" spans="1:4" x14ac:dyDescent="0.25">
      <c r="A76" s="3" t="s">
        <v>44</v>
      </c>
      <c r="D76" s="70">
        <f>SUBTOTAL(109,D70:D75)</f>
        <v>161.74167222222218</v>
      </c>
    </row>
    <row r="77" spans="1:4" x14ac:dyDescent="0.25">
      <c r="A77" s="3"/>
      <c r="D77" s="70"/>
    </row>
    <row r="78" spans="1:4" x14ac:dyDescent="0.25">
      <c r="A78" s="227" t="s">
        <v>110</v>
      </c>
      <c r="B78" s="227"/>
      <c r="C78" s="227"/>
      <c r="D78" s="227"/>
    </row>
    <row r="79" spans="1:4" x14ac:dyDescent="0.25">
      <c r="A79" s="74" t="s">
        <v>2</v>
      </c>
      <c r="B79" s="74" t="s">
        <v>59</v>
      </c>
      <c r="C79" s="74" t="s">
        <v>60</v>
      </c>
      <c r="D79" s="74" t="s">
        <v>61</v>
      </c>
    </row>
    <row r="80" spans="1:4" ht="60" x14ac:dyDescent="0.25">
      <c r="A80" s="4" t="s">
        <v>28</v>
      </c>
      <c r="B80" s="76" t="s">
        <v>104</v>
      </c>
      <c r="C80" s="2" t="s">
        <v>111</v>
      </c>
      <c r="D80" s="2" t="s">
        <v>112</v>
      </c>
    </row>
    <row r="81" spans="1:5" ht="60" x14ac:dyDescent="0.25">
      <c r="A81" s="4" t="s">
        <v>31</v>
      </c>
      <c r="B81" s="77" t="s">
        <v>105</v>
      </c>
      <c r="C81" s="2" t="s">
        <v>113</v>
      </c>
      <c r="D81" s="2" t="s">
        <v>112</v>
      </c>
    </row>
    <row r="82" spans="1:5" ht="75" x14ac:dyDescent="0.25">
      <c r="A82" s="4" t="s">
        <v>34</v>
      </c>
      <c r="B82" s="77" t="s">
        <v>106</v>
      </c>
      <c r="C82" s="2" t="s">
        <v>113</v>
      </c>
      <c r="D82" s="81" t="s">
        <v>114</v>
      </c>
    </row>
    <row r="83" spans="1:5" ht="60" x14ac:dyDescent="0.25">
      <c r="A83" s="4" t="s">
        <v>36</v>
      </c>
      <c r="B83" s="82" t="s">
        <v>107</v>
      </c>
      <c r="C83" s="2" t="s">
        <v>115</v>
      </c>
      <c r="D83" s="81" t="s">
        <v>116</v>
      </c>
    </row>
    <row r="84" spans="1:5" ht="75" x14ac:dyDescent="0.25">
      <c r="A84" s="4" t="s">
        <v>39</v>
      </c>
      <c r="B84" s="82" t="s">
        <v>108</v>
      </c>
      <c r="C84" s="2" t="s">
        <v>113</v>
      </c>
      <c r="D84" s="81" t="s">
        <v>117</v>
      </c>
    </row>
    <row r="85" spans="1:5" ht="60" x14ac:dyDescent="0.25">
      <c r="A85" s="4" t="s">
        <v>41</v>
      </c>
      <c r="B85" s="82" t="s">
        <v>109</v>
      </c>
      <c r="C85" s="2" t="s">
        <v>118</v>
      </c>
      <c r="D85" s="81" t="s">
        <v>119</v>
      </c>
    </row>
    <row r="87" spans="1:5" x14ac:dyDescent="0.25">
      <c r="A87" s="228" t="s">
        <v>120</v>
      </c>
      <c r="B87" s="222"/>
      <c r="C87" s="222"/>
      <c r="D87" s="222"/>
    </row>
    <row r="88" spans="1:5" x14ac:dyDescent="0.25">
      <c r="A88" s="226" t="s">
        <v>121</v>
      </c>
      <c r="B88" s="226"/>
      <c r="C88" s="226"/>
      <c r="D88" s="226"/>
    </row>
    <row r="89" spans="1:5" x14ac:dyDescent="0.25">
      <c r="A89" s="3" t="s">
        <v>122</v>
      </c>
      <c r="B89" t="s">
        <v>123</v>
      </c>
      <c r="C89" s="3" t="s">
        <v>124</v>
      </c>
      <c r="D89" s="3" t="s">
        <v>5</v>
      </c>
    </row>
    <row r="90" spans="1:5" x14ac:dyDescent="0.25">
      <c r="A90" s="3" t="s">
        <v>28</v>
      </c>
      <c r="B90" t="s">
        <v>125</v>
      </c>
      <c r="C90" s="3">
        <v>30</v>
      </c>
      <c r="D90" s="70">
        <f t="shared" ref="D90:D95" si="0">(C90*G$24)/12</f>
        <v>136.55882666666665</v>
      </c>
      <c r="E90" s="8"/>
    </row>
    <row r="91" spans="1:5" x14ac:dyDescent="0.25">
      <c r="A91" s="3" t="s">
        <v>31</v>
      </c>
      <c r="B91" t="s">
        <v>126</v>
      </c>
      <c r="C91" s="3">
        <v>1.4180999999999999</v>
      </c>
      <c r="D91" s="70">
        <f t="shared" si="0"/>
        <v>6.4551357365333324</v>
      </c>
      <c r="E91" s="8"/>
    </row>
    <row r="92" spans="1:5" x14ac:dyDescent="0.25">
      <c r="A92" s="3" t="s">
        <v>34</v>
      </c>
      <c r="B92" t="s">
        <v>127</v>
      </c>
      <c r="C92" s="3">
        <v>0.1898</v>
      </c>
      <c r="D92" s="70">
        <f t="shared" si="0"/>
        <v>0.86396217671111097</v>
      </c>
      <c r="E92" s="8"/>
    </row>
    <row r="93" spans="1:5" x14ac:dyDescent="0.25">
      <c r="A93" s="3" t="s">
        <v>36</v>
      </c>
      <c r="B93" t="s">
        <v>128</v>
      </c>
      <c r="C93" s="3">
        <v>0.95450000000000002</v>
      </c>
      <c r="D93" s="70">
        <f t="shared" si="0"/>
        <v>4.3448466684444442</v>
      </c>
      <c r="E93" s="8"/>
    </row>
    <row r="94" spans="1:5" x14ac:dyDescent="0.25">
      <c r="A94" s="3" t="s">
        <v>39</v>
      </c>
      <c r="B94" t="s">
        <v>129</v>
      </c>
      <c r="C94" s="3">
        <v>2.4723000000000002</v>
      </c>
      <c r="D94" s="70">
        <f>(C94*G$25)/12</f>
        <v>1.0468663167999999</v>
      </c>
      <c r="E94" s="8"/>
    </row>
    <row r="95" spans="1:5" x14ac:dyDescent="0.25">
      <c r="A95" s="3" t="s">
        <v>41</v>
      </c>
      <c r="B95" t="s">
        <v>130</v>
      </c>
      <c r="C95" s="3">
        <v>3.4521000000000002</v>
      </c>
      <c r="D95" s="70">
        <f t="shared" si="0"/>
        <v>15.713824184533332</v>
      </c>
      <c r="E95" s="8"/>
    </row>
    <row r="96" spans="1:5" x14ac:dyDescent="0.25">
      <c r="A96" s="3" t="s">
        <v>44</v>
      </c>
      <c r="C96" s="3">
        <f>SUBTOTAL(109,C90:C95)</f>
        <v>38.486800000000002</v>
      </c>
      <c r="D96" s="70">
        <f>SUBTOTAL(109,D90:D95)</f>
        <v>164.98346174968884</v>
      </c>
    </row>
    <row r="97" spans="1:4" x14ac:dyDescent="0.25">
      <c r="A97" s="3"/>
      <c r="C97" s="3"/>
      <c r="D97" s="70"/>
    </row>
    <row r="98" spans="1:4" x14ac:dyDescent="0.25">
      <c r="A98" s="227" t="s">
        <v>131</v>
      </c>
      <c r="B98" s="227"/>
      <c r="C98" s="227"/>
      <c r="D98" s="227"/>
    </row>
    <row r="99" spans="1:4" x14ac:dyDescent="0.25">
      <c r="A99" s="74" t="s">
        <v>2</v>
      </c>
      <c r="B99" s="74" t="s">
        <v>59</v>
      </c>
      <c r="C99" s="74" t="s">
        <v>60</v>
      </c>
      <c r="D99" s="74" t="s">
        <v>61</v>
      </c>
    </row>
    <row r="100" spans="1:4" x14ac:dyDescent="0.25">
      <c r="A100" s="4" t="s">
        <v>132</v>
      </c>
      <c r="B100" s="76" t="s">
        <v>133</v>
      </c>
      <c r="C100" s="2"/>
      <c r="D100" s="2"/>
    </row>
    <row r="101" spans="1:4" ht="60" x14ac:dyDescent="0.25">
      <c r="A101" s="4" t="s">
        <v>134</v>
      </c>
      <c r="B101" s="77" t="s">
        <v>135</v>
      </c>
      <c r="C101" s="2" t="s">
        <v>136</v>
      </c>
      <c r="D101" s="2" t="s">
        <v>137</v>
      </c>
    </row>
    <row r="102" spans="1:4" ht="60" x14ac:dyDescent="0.25">
      <c r="A102" s="4" t="s">
        <v>39</v>
      </c>
      <c r="B102" s="77" t="s">
        <v>138</v>
      </c>
      <c r="C102" s="2" t="s">
        <v>139</v>
      </c>
      <c r="D102" s="2" t="s">
        <v>137</v>
      </c>
    </row>
    <row r="103" spans="1:4" x14ac:dyDescent="0.25">
      <c r="A103" s="3"/>
      <c r="C103" s="3"/>
      <c r="D103" s="70"/>
    </row>
    <row r="104" spans="1:4" x14ac:dyDescent="0.25">
      <c r="A104" s="224" t="s">
        <v>140</v>
      </c>
      <c r="B104" s="224"/>
      <c r="C104" s="224"/>
      <c r="D104" s="224"/>
    </row>
    <row r="105" spans="1:4" x14ac:dyDescent="0.25">
      <c r="A105" s="3" t="s">
        <v>141</v>
      </c>
      <c r="B105" t="s">
        <v>142</v>
      </c>
      <c r="C105" s="3" t="s">
        <v>4</v>
      </c>
      <c r="D105" s="3" t="s">
        <v>5</v>
      </c>
    </row>
    <row r="106" spans="1:4" x14ac:dyDescent="0.25">
      <c r="A106" s="3" t="s">
        <v>28</v>
      </c>
      <c r="B106" t="s">
        <v>143</v>
      </c>
      <c r="C106" s="3"/>
      <c r="D106" s="70"/>
    </row>
    <row r="107" spans="1:4" x14ac:dyDescent="0.25">
      <c r="A107" s="3" t="s">
        <v>44</v>
      </c>
      <c r="C107" s="3"/>
      <c r="D107" s="70">
        <f>SUBTOTAL(109,D106:D106)</f>
        <v>0</v>
      </c>
    </row>
    <row r="109" spans="1:4" x14ac:dyDescent="0.25">
      <c r="A109" s="226" t="s">
        <v>144</v>
      </c>
      <c r="B109" s="226"/>
      <c r="C109" s="226"/>
      <c r="D109" s="226"/>
    </row>
    <row r="110" spans="1:4" x14ac:dyDescent="0.25">
      <c r="A110" s="3" t="s">
        <v>145</v>
      </c>
      <c r="B110" t="s">
        <v>146</v>
      </c>
      <c r="C110" s="3" t="s">
        <v>4</v>
      </c>
      <c r="D110" s="3" t="s">
        <v>5</v>
      </c>
    </row>
    <row r="111" spans="1:4" x14ac:dyDescent="0.25">
      <c r="A111" s="3" t="s">
        <v>122</v>
      </c>
      <c r="B111" t="s">
        <v>123</v>
      </c>
      <c r="D111" s="70">
        <f>Servente!$D$96</f>
        <v>164.98346174968884</v>
      </c>
    </row>
    <row r="112" spans="1:4" x14ac:dyDescent="0.25">
      <c r="A112" s="3" t="s">
        <v>141</v>
      </c>
      <c r="B112" t="s">
        <v>147</v>
      </c>
      <c r="D112" s="70">
        <f>Servente!$D$107</f>
        <v>0</v>
      </c>
    </row>
    <row r="113" spans="1:4" x14ac:dyDescent="0.25">
      <c r="A113" s="3" t="s">
        <v>44</v>
      </c>
      <c r="D113" s="70">
        <f>SUBTOTAL(109,D111:D112)</f>
        <v>164.98346174968884</v>
      </c>
    </row>
    <row r="115" spans="1:4" x14ac:dyDescent="0.25">
      <c r="A115" s="225" t="s">
        <v>148</v>
      </c>
      <c r="B115" s="225"/>
      <c r="C115" s="225"/>
      <c r="D115" s="225"/>
    </row>
    <row r="116" spans="1:4" x14ac:dyDescent="0.25">
      <c r="A116" s="3" t="s">
        <v>149</v>
      </c>
      <c r="B116" t="s">
        <v>150</v>
      </c>
      <c r="C116" s="3" t="s">
        <v>4</v>
      </c>
      <c r="D116" s="3" t="s">
        <v>5</v>
      </c>
    </row>
    <row r="117" spans="1:4" x14ac:dyDescent="0.25">
      <c r="A117" s="3" t="s">
        <v>28</v>
      </c>
      <c r="B117" t="s">
        <v>151</v>
      </c>
      <c r="D117" s="70" t="e">
        <f>#REF!</f>
        <v>#REF!</v>
      </c>
    </row>
    <row r="118" spans="1:4" x14ac:dyDescent="0.25">
      <c r="A118" s="3" t="s">
        <v>31</v>
      </c>
      <c r="B118" t="s">
        <v>152</v>
      </c>
      <c r="D118" s="70" t="e">
        <f>#REF!/#REF!</f>
        <v>#REF!</v>
      </c>
    </row>
    <row r="119" spans="1:4" x14ac:dyDescent="0.25">
      <c r="A119" s="3" t="s">
        <v>34</v>
      </c>
      <c r="B119" t="s">
        <v>153</v>
      </c>
      <c r="D119" s="70" t="e">
        <f>#REF!/#REF!</f>
        <v>#REF!</v>
      </c>
    </row>
    <row r="120" spans="1:4" x14ac:dyDescent="0.25">
      <c r="A120" s="3" t="s">
        <v>36</v>
      </c>
      <c r="B120" t="s">
        <v>154</v>
      </c>
      <c r="D120" s="70" t="e">
        <f>#REF!</f>
        <v>#REF!</v>
      </c>
    </row>
    <row r="121" spans="1:4" x14ac:dyDescent="0.25">
      <c r="A121" s="3" t="s">
        <v>44</v>
      </c>
      <c r="D121" s="70" t="e">
        <f>SUBTOTAL(109,D117:D120)</f>
        <v>#REF!</v>
      </c>
    </row>
    <row r="122" spans="1:4" x14ac:dyDescent="0.25">
      <c r="A122" s="3"/>
      <c r="D122" s="70"/>
    </row>
    <row r="123" spans="1:4" x14ac:dyDescent="0.25">
      <c r="A123" s="227" t="s">
        <v>155</v>
      </c>
      <c r="B123" s="227"/>
      <c r="C123" s="227"/>
      <c r="D123" s="227"/>
    </row>
    <row r="124" spans="1:4" x14ac:dyDescent="0.25">
      <c r="A124" s="74" t="s">
        <v>2</v>
      </c>
      <c r="B124" s="74" t="s">
        <v>59</v>
      </c>
      <c r="C124" s="74" t="s">
        <v>60</v>
      </c>
      <c r="D124" s="74" t="s">
        <v>61</v>
      </c>
    </row>
    <row r="125" spans="1:4" x14ac:dyDescent="0.25">
      <c r="A125" s="4" t="s">
        <v>28</v>
      </c>
      <c r="B125" s="76" t="s">
        <v>151</v>
      </c>
      <c r="C125" s="2" t="s">
        <v>156</v>
      </c>
      <c r="D125" s="2"/>
    </row>
    <row r="126" spans="1:4" ht="30" x14ac:dyDescent="0.25">
      <c r="A126" s="4" t="s">
        <v>31</v>
      </c>
      <c r="B126" s="77" t="s">
        <v>152</v>
      </c>
      <c r="C126" s="2" t="s">
        <v>157</v>
      </c>
      <c r="D126" s="2" t="s">
        <v>158</v>
      </c>
    </row>
    <row r="127" spans="1:4" ht="30" x14ac:dyDescent="0.25">
      <c r="A127" s="4" t="s">
        <v>34</v>
      </c>
      <c r="B127" s="77" t="s">
        <v>153</v>
      </c>
      <c r="C127" s="2" t="s">
        <v>159</v>
      </c>
      <c r="D127" s="2" t="s">
        <v>158</v>
      </c>
    </row>
    <row r="128" spans="1:4" x14ac:dyDescent="0.25">
      <c r="A128" s="4" t="s">
        <v>36</v>
      </c>
      <c r="B128" s="77" t="s">
        <v>154</v>
      </c>
      <c r="C128" s="2"/>
      <c r="D128" s="2"/>
    </row>
    <row r="130" spans="1:4" x14ac:dyDescent="0.25">
      <c r="A130" s="225" t="s">
        <v>160</v>
      </c>
      <c r="B130" s="225"/>
      <c r="C130" s="225"/>
      <c r="D130" s="225"/>
    </row>
    <row r="131" spans="1:4" outlineLevel="1" x14ac:dyDescent="0.25">
      <c r="A131" s="3" t="s">
        <v>161</v>
      </c>
      <c r="B131" t="s">
        <v>162</v>
      </c>
      <c r="C131" s="3" t="s">
        <v>24</v>
      </c>
      <c r="D131" s="3" t="s">
        <v>5</v>
      </c>
    </row>
    <row r="132" spans="1:4" outlineLevel="1" x14ac:dyDescent="0.25">
      <c r="A132" s="3" t="s">
        <v>28</v>
      </c>
      <c r="B132" t="s">
        <v>163</v>
      </c>
      <c r="C132" s="79">
        <f>G16</f>
        <v>0.03</v>
      </c>
      <c r="D132" s="70" t="e">
        <f>Servente!$C$132*(D143+D144+D145+D146+D147)</f>
        <v>#REF!</v>
      </c>
    </row>
    <row r="133" spans="1:4" outlineLevel="1" x14ac:dyDescent="0.25">
      <c r="A133" s="3" t="s">
        <v>31</v>
      </c>
      <c r="B133" t="s">
        <v>45</v>
      </c>
      <c r="C133" s="79">
        <f>G17</f>
        <v>6.7900000000000002E-2</v>
      </c>
      <c r="D133" s="70" t="e">
        <f>(SUM(D143:D147)+D132)*Servente!$C$133</f>
        <v>#REF!</v>
      </c>
    </row>
    <row r="134" spans="1:4" x14ac:dyDescent="0.25">
      <c r="A134" s="3" t="s">
        <v>34</v>
      </c>
      <c r="B134" t="s">
        <v>164</v>
      </c>
      <c r="C134" s="79">
        <f>SUM(C135:C137)</f>
        <v>0.14250000000000002</v>
      </c>
      <c r="D134" s="70" t="e">
        <f>Servente!$C$134*D150</f>
        <v>#REF!</v>
      </c>
    </row>
    <row r="135" spans="1:4" x14ac:dyDescent="0.25">
      <c r="A135" s="3" t="s">
        <v>165</v>
      </c>
      <c r="B135" t="s">
        <v>46</v>
      </c>
      <c r="C135" s="79">
        <f>G18</f>
        <v>1.6500000000000001E-2</v>
      </c>
      <c r="D135" s="70" t="e">
        <f>Servente!$C$135*D150</f>
        <v>#REF!</v>
      </c>
    </row>
    <row r="136" spans="1:4" x14ac:dyDescent="0.25">
      <c r="A136" s="3" t="s">
        <v>166</v>
      </c>
      <c r="B136" t="s">
        <v>48</v>
      </c>
      <c r="C136" s="79">
        <f>G19</f>
        <v>7.5999999999999998E-2</v>
      </c>
      <c r="D136" s="70" t="e">
        <f>Servente!$C$136*D150</f>
        <v>#REF!</v>
      </c>
    </row>
    <row r="137" spans="1:4" x14ac:dyDescent="0.25">
      <c r="A137" s="3" t="s">
        <v>167</v>
      </c>
      <c r="B137" t="s">
        <v>50</v>
      </c>
      <c r="C137" s="79">
        <f>G20</f>
        <v>0.05</v>
      </c>
      <c r="D137" s="70" t="e">
        <f>Servente!$C$137*D150</f>
        <v>#REF!</v>
      </c>
    </row>
    <row r="138" spans="1:4" x14ac:dyDescent="0.25">
      <c r="A138" s="3" t="s">
        <v>44</v>
      </c>
      <c r="C138" s="83"/>
      <c r="D138" s="70" t="e">
        <f>SUM(D132:D134)</f>
        <v>#REF!</v>
      </c>
    </row>
    <row r="139" spans="1:4" x14ac:dyDescent="0.25">
      <c r="A139" s="3"/>
      <c r="C139" s="83"/>
      <c r="D139" s="70"/>
    </row>
    <row r="141" spans="1:4" x14ac:dyDescent="0.25">
      <c r="A141" s="225" t="s">
        <v>168</v>
      </c>
      <c r="B141" s="225"/>
      <c r="C141" s="225"/>
      <c r="D141" s="225"/>
    </row>
    <row r="142" spans="1:4" x14ac:dyDescent="0.25">
      <c r="A142" s="3" t="s">
        <v>2</v>
      </c>
      <c r="B142" s="3" t="s">
        <v>169</v>
      </c>
      <c r="C142" s="3" t="s">
        <v>95</v>
      </c>
      <c r="D142" s="3" t="s">
        <v>5</v>
      </c>
    </row>
    <row r="143" spans="1:4" x14ac:dyDescent="0.25">
      <c r="A143" s="3" t="s">
        <v>28</v>
      </c>
      <c r="B143" t="s">
        <v>22</v>
      </c>
      <c r="D143" s="70">
        <f>Servente!$D$17</f>
        <v>1002.88</v>
      </c>
    </row>
    <row r="144" spans="1:4" x14ac:dyDescent="0.25">
      <c r="A144" s="3" t="s">
        <v>31</v>
      </c>
      <c r="B144" t="s">
        <v>47</v>
      </c>
      <c r="D144" s="70">
        <f>Servente!$D$66</f>
        <v>893.9248</v>
      </c>
    </row>
    <row r="145" spans="1:4" x14ac:dyDescent="0.25">
      <c r="A145" s="3" t="s">
        <v>34</v>
      </c>
      <c r="B145" t="s">
        <v>101</v>
      </c>
      <c r="D145" s="70">
        <f>Servente!$D$76</f>
        <v>161.74167222222218</v>
      </c>
    </row>
    <row r="146" spans="1:4" x14ac:dyDescent="0.25">
      <c r="A146" s="3" t="s">
        <v>36</v>
      </c>
      <c r="B146" t="s">
        <v>170</v>
      </c>
      <c r="D146" s="70">
        <f>Servente!$D$113</f>
        <v>164.98346174968884</v>
      </c>
    </row>
    <row r="147" spans="1:4" x14ac:dyDescent="0.25">
      <c r="A147" s="3" t="s">
        <v>39</v>
      </c>
      <c r="B147" t="s">
        <v>148</v>
      </c>
      <c r="D147" s="70" t="e">
        <f>Servente!$D$121</f>
        <v>#REF!</v>
      </c>
    </row>
    <row r="148" spans="1:4" x14ac:dyDescent="0.25">
      <c r="A148" t="s">
        <v>171</v>
      </c>
      <c r="D148" s="70" t="e">
        <f>SUM(D143:D147)</f>
        <v>#REF!</v>
      </c>
    </row>
    <row r="149" spans="1:4" x14ac:dyDescent="0.25">
      <c r="A149" s="3" t="s">
        <v>41</v>
      </c>
      <c r="B149" t="s">
        <v>160</v>
      </c>
      <c r="D149" s="70" t="e">
        <f>Servente!$D$138</f>
        <v>#REF!</v>
      </c>
    </row>
    <row r="150" spans="1:4" x14ac:dyDescent="0.25">
      <c r="A150" s="84" t="s">
        <v>172</v>
      </c>
      <c r="B150" s="84"/>
      <c r="C150" s="84"/>
      <c r="D150" s="85" t="e">
        <f>(SUM(D143:D147)+D132+D133)/(100%-C134)</f>
        <v>#REF!</v>
      </c>
    </row>
  </sheetData>
  <mergeCells count="25">
    <mergeCell ref="A141:D141"/>
    <mergeCell ref="A98:D98"/>
    <mergeCell ref="A104:D104"/>
    <mergeCell ref="A109:D109"/>
    <mergeCell ref="A115:D115"/>
    <mergeCell ref="A123:D123"/>
    <mergeCell ref="A130:D130"/>
    <mergeCell ref="A88:D88"/>
    <mergeCell ref="A20:D20"/>
    <mergeCell ref="F22:G22"/>
    <mergeCell ref="A26:D26"/>
    <mergeCell ref="A31:D31"/>
    <mergeCell ref="A43:D43"/>
    <mergeCell ref="A47:D47"/>
    <mergeCell ref="A56:D56"/>
    <mergeCell ref="A61:D61"/>
    <mergeCell ref="A68:D68"/>
    <mergeCell ref="A78:D78"/>
    <mergeCell ref="A87:D87"/>
    <mergeCell ref="A19:D19"/>
    <mergeCell ref="A1:D1"/>
    <mergeCell ref="F1:G1"/>
    <mergeCell ref="F8:G8"/>
    <mergeCell ref="A9:D9"/>
    <mergeCell ref="F14:G14"/>
  </mergeCells>
  <pageMargins left="0.7" right="0.7" top="0.75" bottom="0.75" header="0.3" footer="0.3"/>
  <pageSetup paperSize="9" orientation="portrait" horizontalDpi="0" verticalDpi="0"/>
  <legacyDrawing r:id="rId1"/>
  <tableParts count="23">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5"/>
  <sheetViews>
    <sheetView zoomScaleSheetLayoutView="100" workbookViewId="0">
      <selection activeCell="F5" sqref="F5"/>
    </sheetView>
  </sheetViews>
  <sheetFormatPr defaultColWidth="9.140625" defaultRowHeight="15" x14ac:dyDescent="0.25"/>
  <cols>
    <col min="2" max="2" width="58.28515625" customWidth="1"/>
    <col min="3" max="3" width="12.7109375" customWidth="1"/>
    <col min="4" max="4" width="14.28515625" style="1" customWidth="1"/>
    <col min="5" max="5" width="19" customWidth="1"/>
    <col min="6" max="6" width="18.5703125" customWidth="1"/>
    <col min="7" max="7" width="13.28515625" customWidth="1"/>
    <col min="11" max="11" width="13.7109375" bestFit="1" customWidth="1"/>
  </cols>
  <sheetData>
    <row r="1" spans="1:11" x14ac:dyDescent="0.25">
      <c r="A1" s="224" t="s">
        <v>297</v>
      </c>
      <c r="B1" s="224"/>
      <c r="C1" s="224"/>
      <c r="D1" s="224"/>
      <c r="E1" s="224"/>
      <c r="F1" s="224"/>
      <c r="G1" s="224"/>
    </row>
    <row r="2" spans="1:11" ht="30.75" thickBot="1" x14ac:dyDescent="0.3">
      <c r="A2" s="2" t="s">
        <v>2</v>
      </c>
      <c r="B2" s="2" t="s">
        <v>3</v>
      </c>
      <c r="C2" s="2" t="s">
        <v>262</v>
      </c>
      <c r="D2" s="2" t="s">
        <v>298</v>
      </c>
      <c r="E2" s="2" t="s">
        <v>299</v>
      </c>
      <c r="F2" s="2" t="s">
        <v>300</v>
      </c>
      <c r="G2" s="2" t="s">
        <v>301</v>
      </c>
    </row>
    <row r="3" spans="1:11" ht="15.75" thickTop="1" x14ac:dyDescent="0.25">
      <c r="A3" s="3">
        <v>1</v>
      </c>
      <c r="B3" s="11" t="s">
        <v>274</v>
      </c>
      <c r="C3" s="4">
        <f>'Áreas e Produtividades'!D3</f>
        <v>0</v>
      </c>
      <c r="D3" s="5">
        <f>'Áreas e Produtividades'!M3</f>
        <v>1.2803234501347707E-3</v>
      </c>
      <c r="E3" s="6">
        <v>0</v>
      </c>
      <c r="F3" s="6">
        <v>0</v>
      </c>
      <c r="G3" s="86">
        <v>0</v>
      </c>
      <c r="K3" s="8"/>
    </row>
    <row r="4" spans="1:11" x14ac:dyDescent="0.25">
      <c r="A4" s="3">
        <v>2</v>
      </c>
      <c r="B4" s="15" t="s">
        <v>276</v>
      </c>
      <c r="C4" s="4">
        <f>'Áreas e Produtividades'!D4</f>
        <v>5442</v>
      </c>
      <c r="D4" s="5">
        <f>'Áreas e Produtividades'!M4</f>
        <v>1.0242587601078166E-3</v>
      </c>
      <c r="E4" s="6">
        <f>IF('Valor Unitário (m²)'!$D$4=0,0,'Valor Unitário (m²)'!$D$4*ASG!$D$147)</f>
        <v>2.8311946091644202</v>
      </c>
      <c r="F4" s="6">
        <f>TRUNC((1/('Áreas e Produtividades'!$N$21*'Áreas e Produtividades'!O4))*'Encarregado (Líder)'!$D$148,2)</f>
        <v>0.19</v>
      </c>
      <c r="G4" s="86">
        <f>ROUND(SUM(E4,F4),4)</f>
        <v>3.0211999999999999</v>
      </c>
      <c r="K4" s="8"/>
    </row>
    <row r="5" spans="1:11" x14ac:dyDescent="0.25">
      <c r="A5" s="3">
        <v>3</v>
      </c>
      <c r="B5" s="19" t="s">
        <v>277</v>
      </c>
      <c r="C5" s="4">
        <f>'Áreas e Produtividades'!D5</f>
        <v>2026</v>
      </c>
      <c r="D5" s="5">
        <f>'Áreas e Produtividades'!M5</f>
        <v>2.5290339755748557E-3</v>
      </c>
      <c r="E5" s="6">
        <f>IF('Valor Unitário (m²)'!$D$5=0,0,'Valor Unitário (m²)'!$D$5*ASG!$D$147)</f>
        <v>6.9906039732454817</v>
      </c>
      <c r="F5" s="6">
        <f>TRUNC((1/('Áreas e Produtividades'!$N$21*'Áreas e Produtividades'!O5))*'Encarregado (Líder)'!$D$148,2)</f>
        <v>0.48</v>
      </c>
      <c r="G5" s="86">
        <f t="shared" ref="G5:G20" si="0">ROUND(SUM(E5,F5),4)</f>
        <v>7.4706000000000001</v>
      </c>
      <c r="K5" s="8"/>
    </row>
    <row r="6" spans="1:11" x14ac:dyDescent="0.25">
      <c r="A6" s="3">
        <v>4</v>
      </c>
      <c r="B6" s="15" t="s">
        <v>278</v>
      </c>
      <c r="C6" s="4">
        <f>'Áreas e Produtividades'!D6</f>
        <v>0</v>
      </c>
      <c r="D6" s="5">
        <f>'Áreas e Produtividades'!M6</f>
        <v>6.8283917340521106E-4</v>
      </c>
      <c r="E6" s="6">
        <v>0</v>
      </c>
      <c r="F6" s="6">
        <v>0</v>
      </c>
      <c r="G6" s="86">
        <f t="shared" si="0"/>
        <v>0</v>
      </c>
      <c r="K6" s="8"/>
    </row>
    <row r="7" spans="1:11" x14ac:dyDescent="0.25">
      <c r="A7" s="3">
        <v>5</v>
      </c>
      <c r="B7" s="19" t="s">
        <v>279</v>
      </c>
      <c r="C7" s="4">
        <f>'Áreas e Produtividades'!D7</f>
        <v>0</v>
      </c>
      <c r="D7" s="5">
        <f>'Áreas e Produtividades'!M7</f>
        <v>8.5354896675651391E-4</v>
      </c>
      <c r="E7" s="6">
        <v>0</v>
      </c>
      <c r="F7" s="6">
        <v>0</v>
      </c>
      <c r="G7" s="86">
        <f t="shared" si="0"/>
        <v>0</v>
      </c>
      <c r="K7" s="8"/>
    </row>
    <row r="8" spans="1:11" x14ac:dyDescent="0.25">
      <c r="A8" s="3">
        <v>6</v>
      </c>
      <c r="B8" s="15" t="s">
        <v>280</v>
      </c>
      <c r="C8" s="4">
        <f>'Áreas e Produtividades'!D8</f>
        <v>2122</v>
      </c>
      <c r="D8" s="5">
        <f>'Áreas e Produtividades'!M8</f>
        <v>8.1940700808625332E-4</v>
      </c>
      <c r="E8" s="6">
        <f>IF('Valor Unitário (m²)'!$D$8=0,0,'Valor Unitário (m²)'!$D$8*ASG!$D$147)</f>
        <v>2.2649556873315362</v>
      </c>
      <c r="F8" s="6">
        <f>TRUNC((1/('Áreas e Produtividades'!$N$21*'Áreas e Produtividades'!O8))*'Encarregado (Líder)'!$D$148,2)</f>
        <v>0.15</v>
      </c>
      <c r="G8" s="86">
        <f t="shared" si="0"/>
        <v>2.415</v>
      </c>
      <c r="K8" s="8"/>
    </row>
    <row r="9" spans="1:11" x14ac:dyDescent="0.25">
      <c r="A9" s="3">
        <v>7</v>
      </c>
      <c r="B9" s="19" t="s">
        <v>281</v>
      </c>
      <c r="C9" s="4">
        <f>'Áreas e Produtividades'!D9</f>
        <v>309</v>
      </c>
      <c r="D9" s="5">
        <f>'Áreas e Produtividades'!M9</f>
        <v>5.1212938005390828E-3</v>
      </c>
      <c r="E9" s="6">
        <f>IF('Valor Unitário (m²)'!$D$9=0,0,'Valor Unitário (m²)'!$D$9*ASG!$D$147)</f>
        <v>14.155973045822099</v>
      </c>
      <c r="F9" s="6">
        <f>TRUNC((1/('Áreas e Produtividades'!$N$21*'Áreas e Produtividades'!O9))*'Encarregado (Líder)'!$D$148,2)</f>
        <v>0.97</v>
      </c>
      <c r="G9" s="86">
        <f t="shared" si="0"/>
        <v>15.125999999999999</v>
      </c>
      <c r="K9" s="8"/>
    </row>
    <row r="10" spans="1:11" x14ac:dyDescent="0.25">
      <c r="A10" s="3">
        <v>8</v>
      </c>
      <c r="B10" s="15" t="s">
        <v>282</v>
      </c>
      <c r="C10" s="4">
        <f>'Áreas e Produtividades'!D10</f>
        <v>0</v>
      </c>
      <c r="D10" s="5">
        <f>'Áreas e Produtividades'!M10</f>
        <v>5.690326445043425E-4</v>
      </c>
      <c r="E10" s="6">
        <v>0</v>
      </c>
      <c r="F10" s="6">
        <v>0</v>
      </c>
      <c r="G10" s="86">
        <f t="shared" si="0"/>
        <v>0</v>
      </c>
      <c r="K10" s="8"/>
    </row>
    <row r="11" spans="1:11" x14ac:dyDescent="0.25">
      <c r="A11" s="3">
        <v>9</v>
      </c>
      <c r="B11" s="19" t="s">
        <v>284</v>
      </c>
      <c r="C11" s="4">
        <f>'Áreas e Produtividades'!D11</f>
        <v>6529</v>
      </c>
      <c r="D11" s="5">
        <f>'Áreas e Produtividades'!M11</f>
        <v>1.7070979335130277E-4</v>
      </c>
      <c r="E11" s="6">
        <f>IF('Valor Unitário (m²)'!$D$11=0,0,'Valor Unitário (m²)'!$D$11*ASG!$D$147)</f>
        <v>0.47186576819407</v>
      </c>
      <c r="F11" s="6">
        <f>TRUNC((1/('Áreas e Produtividades'!$N$21*'Áreas e Produtividades'!O11))*'Encarregado (Líder)'!$D$148,2)</f>
        <v>0.03</v>
      </c>
      <c r="G11" s="86">
        <f t="shared" si="0"/>
        <v>0.50190000000000001</v>
      </c>
      <c r="K11" s="8"/>
    </row>
    <row r="12" spans="1:11" x14ac:dyDescent="0.25">
      <c r="A12" s="3">
        <v>10</v>
      </c>
      <c r="B12" s="15" t="s">
        <v>285</v>
      </c>
      <c r="C12" s="4">
        <f>'Áreas e Produtividades'!D12</f>
        <v>0</v>
      </c>
      <c r="D12" s="5">
        <f>'Áreas e Produtividades'!M12</f>
        <v>5.690326445043425E-4</v>
      </c>
      <c r="E12" s="6">
        <v>0</v>
      </c>
      <c r="F12" s="6">
        <v>0</v>
      </c>
      <c r="G12" s="86">
        <f t="shared" si="0"/>
        <v>0</v>
      </c>
      <c r="K12" s="8"/>
    </row>
    <row r="13" spans="1:11" x14ac:dyDescent="0.25">
      <c r="A13" s="3">
        <v>11</v>
      </c>
      <c r="B13" s="19" t="s">
        <v>286</v>
      </c>
      <c r="C13" s="4">
        <f>'Áreas e Produtividades'!D13</f>
        <v>0</v>
      </c>
      <c r="D13" s="5">
        <f>'Áreas e Produtividades'!M13</f>
        <v>5.690326445043425E-4</v>
      </c>
      <c r="E13" s="6">
        <v>0</v>
      </c>
      <c r="F13" s="6">
        <v>0</v>
      </c>
      <c r="G13" s="86">
        <f t="shared" si="0"/>
        <v>0</v>
      </c>
      <c r="K13" s="8"/>
    </row>
    <row r="14" spans="1:11" x14ac:dyDescent="0.25">
      <c r="A14" s="3">
        <v>12</v>
      </c>
      <c r="B14" s="15" t="s">
        <v>287</v>
      </c>
      <c r="C14" s="4">
        <f>'Áreas e Produtividades'!D14</f>
        <v>5739</v>
      </c>
      <c r="D14" s="5">
        <f>'Áreas e Produtividades'!M14</f>
        <v>5.690326445043425E-4</v>
      </c>
      <c r="E14" s="6">
        <f>IF('Valor Unitário (m²)'!$D$14=0,0,'Valor Unitário (m²)'!$D$14*ASG!$D$147)</f>
        <v>1.5728858939802333</v>
      </c>
      <c r="F14" s="6">
        <f>TRUNC((1/('Áreas e Produtividades'!$N$21*'Áreas e Produtividades'!O14))*'Encarregado (Líder)'!$D$148,2)</f>
        <v>0.1</v>
      </c>
      <c r="G14" s="86">
        <f t="shared" si="0"/>
        <v>1.6729000000000001</v>
      </c>
      <c r="K14" s="8"/>
    </row>
    <row r="15" spans="1:11" x14ac:dyDescent="0.25">
      <c r="A15" s="3">
        <v>13</v>
      </c>
      <c r="B15" s="19" t="s">
        <v>288</v>
      </c>
      <c r="C15" s="4">
        <f>'Áreas e Produtividades'!D15</f>
        <v>0</v>
      </c>
      <c r="D15" s="5">
        <f>'Áreas e Produtividades'!M15</f>
        <v>1.0242587601078166E-5</v>
      </c>
      <c r="E15" s="6">
        <v>0</v>
      </c>
      <c r="F15" s="6">
        <v>0</v>
      </c>
      <c r="G15" s="86">
        <f t="shared" si="0"/>
        <v>0</v>
      </c>
      <c r="K15" s="8"/>
    </row>
    <row r="16" spans="1:11" x14ac:dyDescent="0.25">
      <c r="A16" s="3">
        <v>14</v>
      </c>
      <c r="B16" s="15" t="s">
        <v>289</v>
      </c>
      <c r="C16" s="4">
        <f>'Áreas e Produtividades'!D16</f>
        <v>0</v>
      </c>
      <c r="D16" s="5">
        <f>'Áreas e Produtividades'!M16</f>
        <v>6.6784603003101483E-4</v>
      </c>
      <c r="E16" s="6">
        <v>0</v>
      </c>
      <c r="F16" s="6">
        <v>0</v>
      </c>
      <c r="G16" s="86">
        <f t="shared" si="0"/>
        <v>0</v>
      </c>
      <c r="K16" s="8"/>
    </row>
    <row r="17" spans="1:11" x14ac:dyDescent="0.25">
      <c r="A17" s="3">
        <v>15</v>
      </c>
      <c r="B17" s="19" t="s">
        <v>291</v>
      </c>
      <c r="C17" s="4">
        <f>'Áreas e Produtividades'!D17</f>
        <v>1115</v>
      </c>
      <c r="D17" s="5">
        <f>'Áreas e Produtividades'!M17</f>
        <v>2.8939994634677311E-4</v>
      </c>
      <c r="E17" s="6">
        <f>IF('Valor Unitário (m²)'!$D$17=0,0,'Valor Unitário (m²)'!$D$17*ASG!$D$147)</f>
        <v>0.79994196769496939</v>
      </c>
      <c r="F17" s="6">
        <f>TRUNC((1/('Áreas e Produtividades'!$N$21*'Áreas e Produtividades'!O17))*('Áreas e Produtividades'!E17*'Áreas e Produtividades'!F17*'Encarregado (Líder)'!$D$148),2)</f>
        <v>0.05</v>
      </c>
      <c r="G17" s="86">
        <f t="shared" si="0"/>
        <v>0.84989999999999999</v>
      </c>
      <c r="K17" s="8"/>
    </row>
    <row r="18" spans="1:11" x14ac:dyDescent="0.25">
      <c r="A18" s="3">
        <v>16</v>
      </c>
      <c r="B18" s="15" t="s">
        <v>292</v>
      </c>
      <c r="C18" s="4">
        <f>'Áreas e Produtividades'!D18</f>
        <v>1115</v>
      </c>
      <c r="D18" s="5">
        <f>'Áreas e Produtividades'!M18</f>
        <v>2.8939994634677311E-4</v>
      </c>
      <c r="E18" s="6">
        <f>IF('Valor Unitário (m²)'!$D$18=0,0,'Valor Unitário (m²)'!$D$18*ASG!$D$147)</f>
        <v>0.79994196769496939</v>
      </c>
      <c r="F18" s="6">
        <f>TRUNC((1/('Áreas e Produtividades'!$N$21*'Áreas e Produtividades'!O18))*('Áreas e Produtividades'!E18*'Áreas e Produtividades'!F18*'Encarregado (Líder)'!$D$148),2)</f>
        <v>0.05</v>
      </c>
      <c r="G18" s="86">
        <f t="shared" si="0"/>
        <v>0.84989999999999999</v>
      </c>
      <c r="K18" s="8"/>
    </row>
    <row r="19" spans="1:11" x14ac:dyDescent="0.25">
      <c r="A19" s="3">
        <v>17</v>
      </c>
      <c r="B19" s="19" t="s">
        <v>293</v>
      </c>
      <c r="C19" s="4">
        <f>'Áreas e Produtividades'!D19</f>
        <v>0</v>
      </c>
      <c r="D19" s="5">
        <f>'Áreas e Produtividades'!M19</f>
        <v>5.5651870311078209E-5</v>
      </c>
      <c r="E19" s="6">
        <v>0</v>
      </c>
      <c r="F19" s="6">
        <v>0</v>
      </c>
      <c r="G19" s="86">
        <f t="shared" si="0"/>
        <v>0</v>
      </c>
      <c r="K19" s="8"/>
    </row>
    <row r="20" spans="1:11" x14ac:dyDescent="0.25">
      <c r="A20" s="3">
        <v>18</v>
      </c>
      <c r="B20" s="15" t="s">
        <v>294</v>
      </c>
      <c r="C20" s="4">
        <f>'Áreas e Produtividades'!D20</f>
        <v>0</v>
      </c>
      <c r="D20" s="5">
        <f>'Áreas e Produtividades'!M20</f>
        <v>2.8451632225217128E-3</v>
      </c>
      <c r="E20" s="6">
        <v>0</v>
      </c>
      <c r="F20" s="6">
        <v>0</v>
      </c>
      <c r="G20" s="86">
        <f t="shared" si="0"/>
        <v>0</v>
      </c>
      <c r="K20" s="8"/>
    </row>
    <row r="21" spans="1:11" x14ac:dyDescent="0.25">
      <c r="A21" t="s">
        <v>44</v>
      </c>
      <c r="D21" s="87"/>
      <c r="E21" s="4"/>
      <c r="F21" s="4"/>
      <c r="G21" s="4"/>
    </row>
    <row r="22" spans="1:11" x14ac:dyDescent="0.25">
      <c r="A22" s="270" t="s">
        <v>302</v>
      </c>
      <c r="B22" s="270"/>
      <c r="C22" s="270"/>
      <c r="D22" s="271"/>
      <c r="E22" s="270"/>
      <c r="F22" s="270"/>
      <c r="G22" s="270"/>
    </row>
    <row r="23" spans="1:11" ht="27.95" customHeight="1" x14ac:dyDescent="0.25">
      <c r="A23" s="272" t="s">
        <v>303</v>
      </c>
      <c r="B23" s="272"/>
      <c r="C23" s="272"/>
      <c r="D23" s="273"/>
      <c r="E23" s="272"/>
      <c r="F23" s="272"/>
      <c r="G23" s="272"/>
    </row>
    <row r="24" spans="1:11" x14ac:dyDescent="0.25">
      <c r="A24" s="270" t="s">
        <v>304</v>
      </c>
      <c r="B24" s="270"/>
      <c r="C24" s="270"/>
      <c r="D24" s="271"/>
      <c r="E24" s="270"/>
      <c r="F24" s="270"/>
      <c r="G24" s="270"/>
    </row>
    <row r="25" spans="1:11" x14ac:dyDescent="0.25">
      <c r="A25" s="7"/>
      <c r="B25" s="7"/>
      <c r="C25" s="7"/>
      <c r="D25" s="3"/>
      <c r="E25" s="7"/>
      <c r="F25" s="7"/>
      <c r="G25" s="7"/>
    </row>
  </sheetData>
  <mergeCells count="4">
    <mergeCell ref="A1:G1"/>
    <mergeCell ref="A22:G22"/>
    <mergeCell ref="A23:G23"/>
    <mergeCell ref="A24:G24"/>
  </mergeCells>
  <pageMargins left="0.25" right="0.25" top="0.75" bottom="0.75" header="0.3" footer="0.3"/>
  <pageSetup paperSize="9" scale="98" fitToHeight="0" orientation="landscape"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50"/>
  <sheetViews>
    <sheetView showGridLines="0" topLeftCell="D125" zoomScale="85" zoomScaleSheetLayoutView="100" workbookViewId="0">
      <selection activeCell="D118" sqref="D118"/>
    </sheetView>
  </sheetViews>
  <sheetFormatPr defaultColWidth="9" defaultRowHeight="15" outlineLevelRow="1" x14ac:dyDescent="0.25"/>
  <cols>
    <col min="1" max="1" width="12.42578125" customWidth="1"/>
    <col min="2" max="2" width="76.42578125" customWidth="1"/>
    <col min="3" max="3" width="28.42578125" customWidth="1"/>
    <col min="4" max="4" width="27.42578125" customWidth="1"/>
    <col min="6" max="6" width="32.7109375" customWidth="1"/>
    <col min="7" max="7" width="13" customWidth="1"/>
  </cols>
  <sheetData>
    <row r="1" spans="1:21" x14ac:dyDescent="0.25">
      <c r="A1" s="223" t="s">
        <v>0</v>
      </c>
      <c r="B1" s="223"/>
      <c r="C1" s="223"/>
      <c r="D1" s="223"/>
      <c r="F1" s="224" t="s">
        <v>1</v>
      </c>
      <c r="G1" s="224"/>
      <c r="H1" s="64"/>
      <c r="I1" s="64"/>
      <c r="J1" s="64"/>
      <c r="K1" s="64"/>
      <c r="L1" s="64"/>
      <c r="M1" s="64"/>
      <c r="N1" s="64"/>
      <c r="O1" s="64"/>
      <c r="P1" s="64"/>
      <c r="Q1" s="64"/>
      <c r="R1" s="64"/>
      <c r="S1" s="64"/>
      <c r="T1" s="64"/>
      <c r="U1" s="64"/>
    </row>
    <row r="2" spans="1:21" x14ac:dyDescent="0.25">
      <c r="A2" s="3" t="s">
        <v>2</v>
      </c>
      <c r="B2" t="s">
        <v>3</v>
      </c>
      <c r="C2" s="3" t="s">
        <v>4</v>
      </c>
      <c r="D2" s="3" t="s">
        <v>5</v>
      </c>
      <c r="F2" t="s">
        <v>3</v>
      </c>
      <c r="G2" t="s">
        <v>5</v>
      </c>
      <c r="H2" s="64"/>
      <c r="I2" s="64"/>
      <c r="J2" s="64"/>
      <c r="K2" s="64"/>
      <c r="L2" s="64"/>
      <c r="M2" s="64"/>
      <c r="N2" s="64"/>
      <c r="O2" s="64"/>
      <c r="P2" s="64"/>
      <c r="Q2" s="64"/>
      <c r="R2" s="64"/>
      <c r="S2" s="64"/>
      <c r="T2" s="64"/>
      <c r="U2" s="64"/>
    </row>
    <row r="3" spans="1:21" x14ac:dyDescent="0.25">
      <c r="A3" s="3">
        <v>1</v>
      </c>
      <c r="B3" t="s">
        <v>6</v>
      </c>
      <c r="C3" s="3"/>
      <c r="D3" s="3" t="s">
        <v>7</v>
      </c>
      <c r="F3" t="s">
        <v>8</v>
      </c>
      <c r="G3" s="65">
        <v>3.8</v>
      </c>
      <c r="H3" s="64"/>
      <c r="I3" s="64"/>
      <c r="J3" s="64"/>
      <c r="K3" s="64"/>
      <c r="L3" s="64"/>
      <c r="M3" s="64"/>
      <c r="N3" s="64"/>
      <c r="O3" s="64"/>
      <c r="P3" s="64"/>
      <c r="Q3" s="64"/>
      <c r="R3" s="64"/>
      <c r="S3" s="64"/>
      <c r="T3" s="64"/>
      <c r="U3" s="64"/>
    </row>
    <row r="4" spans="1:21" x14ac:dyDescent="0.25">
      <c r="A4" s="3">
        <v>2</v>
      </c>
      <c r="B4" t="s">
        <v>9</v>
      </c>
      <c r="C4" s="3"/>
      <c r="D4" s="3" t="s">
        <v>10</v>
      </c>
      <c r="F4" t="s">
        <v>11</v>
      </c>
      <c r="G4" s="65">
        <v>14</v>
      </c>
      <c r="H4" s="64"/>
      <c r="I4" s="64"/>
      <c r="J4" s="64"/>
      <c r="K4" s="64"/>
      <c r="L4" s="64"/>
      <c r="M4" s="64"/>
      <c r="N4" s="64"/>
      <c r="O4" s="64"/>
      <c r="P4" s="64"/>
      <c r="Q4" s="64"/>
      <c r="R4" s="64"/>
      <c r="S4" s="64"/>
      <c r="T4" s="64"/>
      <c r="U4" s="64"/>
    </row>
    <row r="5" spans="1:21" x14ac:dyDescent="0.25">
      <c r="A5" s="3">
        <v>3</v>
      </c>
      <c r="B5" t="s">
        <v>12</v>
      </c>
      <c r="C5" s="3" t="s">
        <v>13</v>
      </c>
      <c r="D5" s="66">
        <v>1206.74</v>
      </c>
      <c r="F5" t="s">
        <v>14</v>
      </c>
      <c r="G5" s="67">
        <v>22</v>
      </c>
      <c r="H5" s="64"/>
      <c r="I5" s="64"/>
      <c r="J5" s="64"/>
      <c r="K5" s="64"/>
      <c r="L5" s="64"/>
      <c r="M5" s="64"/>
      <c r="N5" s="64"/>
      <c r="O5" s="64"/>
      <c r="P5" s="64"/>
      <c r="Q5" s="64"/>
      <c r="R5" s="64"/>
      <c r="S5" s="64"/>
      <c r="T5" s="64"/>
      <c r="U5" s="64"/>
    </row>
    <row r="6" spans="1:21" x14ac:dyDescent="0.25">
      <c r="A6" s="3">
        <v>4</v>
      </c>
      <c r="B6" t="s">
        <v>15</v>
      </c>
      <c r="C6" s="3" t="s">
        <v>16</v>
      </c>
      <c r="D6" s="3" t="s">
        <v>173</v>
      </c>
      <c r="F6" t="s">
        <v>18</v>
      </c>
      <c r="G6" s="68">
        <v>0.03</v>
      </c>
      <c r="H6" s="64"/>
      <c r="I6" s="64"/>
      <c r="J6" s="64"/>
      <c r="K6" s="64"/>
      <c r="L6" s="64"/>
      <c r="M6" s="64"/>
      <c r="N6" s="64"/>
      <c r="O6" s="64"/>
      <c r="P6" s="64"/>
      <c r="Q6" s="64"/>
      <c r="R6" s="64"/>
      <c r="S6" s="64"/>
      <c r="T6" s="64"/>
      <c r="U6" s="64"/>
    </row>
    <row r="7" spans="1:21" x14ac:dyDescent="0.25">
      <c r="A7" s="3">
        <v>5</v>
      </c>
      <c r="B7" t="s">
        <v>19</v>
      </c>
      <c r="C7" s="3"/>
      <c r="D7" s="3" t="s">
        <v>20</v>
      </c>
      <c r="H7" s="64"/>
      <c r="I7" s="64"/>
      <c r="J7" s="64"/>
      <c r="K7" s="64"/>
      <c r="L7" s="64"/>
      <c r="M7" s="64"/>
      <c r="N7" s="64"/>
      <c r="O7" s="64"/>
      <c r="P7" s="64"/>
      <c r="Q7" s="64"/>
      <c r="R7" s="64"/>
      <c r="S7" s="64"/>
      <c r="T7" s="64"/>
      <c r="U7" s="64"/>
    </row>
    <row r="8" spans="1:21" x14ac:dyDescent="0.25">
      <c r="F8" s="224" t="s">
        <v>21</v>
      </c>
      <c r="G8" s="224"/>
      <c r="H8" s="64"/>
      <c r="I8" s="64"/>
      <c r="J8" s="64"/>
      <c r="K8" s="64"/>
      <c r="L8" s="64"/>
      <c r="M8" s="64"/>
      <c r="N8" s="64"/>
      <c r="O8" s="64"/>
      <c r="P8" s="64"/>
      <c r="Q8" s="64"/>
      <c r="R8" s="64"/>
      <c r="S8" s="64"/>
      <c r="T8" s="64"/>
      <c r="U8" s="64"/>
    </row>
    <row r="9" spans="1:21" x14ac:dyDescent="0.25">
      <c r="A9" s="225" t="s">
        <v>22</v>
      </c>
      <c r="B9" s="225"/>
      <c r="C9" s="225"/>
      <c r="D9" s="225"/>
      <c r="F9" t="s">
        <v>23</v>
      </c>
      <c r="G9" t="s">
        <v>24</v>
      </c>
      <c r="H9" s="64"/>
      <c r="I9" s="64"/>
      <c r="J9" s="64"/>
      <c r="K9" s="64"/>
      <c r="L9" s="64"/>
      <c r="M9" s="64"/>
      <c r="N9" s="64"/>
      <c r="O9" s="64"/>
      <c r="P9" s="64"/>
      <c r="Q9" s="64"/>
      <c r="R9" s="64"/>
      <c r="S9" s="64"/>
      <c r="T9" s="64"/>
      <c r="U9" s="64"/>
    </row>
    <row r="10" spans="1:21" x14ac:dyDescent="0.25">
      <c r="A10" s="3" t="s">
        <v>25</v>
      </c>
      <c r="B10" t="s">
        <v>26</v>
      </c>
      <c r="C10" s="3" t="s">
        <v>4</v>
      </c>
      <c r="D10" s="3" t="s">
        <v>5</v>
      </c>
      <c r="F10" t="s">
        <v>27</v>
      </c>
      <c r="G10" s="69">
        <v>0.43369999999999997</v>
      </c>
      <c r="H10" s="64"/>
      <c r="I10" s="64"/>
      <c r="J10" s="64"/>
      <c r="K10" s="64"/>
      <c r="L10" s="64"/>
      <c r="M10" s="64"/>
      <c r="N10" s="64"/>
      <c r="O10" s="64"/>
      <c r="P10" s="64"/>
      <c r="Q10" s="64"/>
      <c r="R10" s="64"/>
      <c r="S10" s="64"/>
      <c r="T10" s="64"/>
      <c r="U10" s="64"/>
    </row>
    <row r="11" spans="1:21" x14ac:dyDescent="0.25">
      <c r="A11" s="3" t="s">
        <v>28</v>
      </c>
      <c r="B11" t="s">
        <v>29</v>
      </c>
      <c r="C11" s="3"/>
      <c r="D11" s="70">
        <f>Salário_Normativo_da_Categoria_Profissional</f>
        <v>1206.74</v>
      </c>
      <c r="F11" t="s">
        <v>30</v>
      </c>
      <c r="G11" s="69">
        <v>0.43369999999999997</v>
      </c>
      <c r="H11" s="64"/>
      <c r="I11" s="64"/>
      <c r="J11" s="64"/>
      <c r="K11" s="64"/>
      <c r="L11" s="64"/>
      <c r="M11" s="64"/>
      <c r="N11" s="64"/>
      <c r="O11" s="64"/>
      <c r="P11" s="64"/>
      <c r="Q11" s="64"/>
      <c r="R11" s="64"/>
      <c r="S11" s="64"/>
      <c r="T11" s="64"/>
      <c r="U11" s="64"/>
    </row>
    <row r="12" spans="1:21" x14ac:dyDescent="0.25">
      <c r="A12" s="3" t="s">
        <v>31</v>
      </c>
      <c r="B12" t="s">
        <v>32</v>
      </c>
      <c r="C12" s="3"/>
      <c r="D12" s="70"/>
      <c r="F12" t="s">
        <v>33</v>
      </c>
      <c r="G12" s="69">
        <v>2.18E-2</v>
      </c>
      <c r="H12" s="64"/>
      <c r="I12" s="64"/>
      <c r="J12" s="64"/>
      <c r="K12" s="64"/>
      <c r="L12" s="64"/>
      <c r="M12" s="64"/>
      <c r="N12" s="64"/>
      <c r="O12" s="64"/>
      <c r="P12" s="64"/>
      <c r="Q12" s="64"/>
      <c r="R12" s="64"/>
      <c r="S12" s="64"/>
      <c r="T12" s="64"/>
      <c r="U12" s="64"/>
    </row>
    <row r="13" spans="1:21" x14ac:dyDescent="0.25">
      <c r="A13" s="3" t="s">
        <v>34</v>
      </c>
      <c r="B13" t="s">
        <v>35</v>
      </c>
      <c r="C13" s="3"/>
      <c r="D13" s="70"/>
      <c r="H13" s="64"/>
      <c r="I13" s="64"/>
      <c r="J13" s="64"/>
      <c r="K13" s="64"/>
      <c r="L13" s="64"/>
      <c r="M13" s="64"/>
      <c r="N13" s="64"/>
      <c r="O13" s="64"/>
      <c r="P13" s="64"/>
      <c r="Q13" s="64"/>
      <c r="R13" s="64"/>
      <c r="S13" s="64"/>
      <c r="T13" s="64"/>
      <c r="U13" s="64"/>
    </row>
    <row r="14" spans="1:21" x14ac:dyDescent="0.25">
      <c r="A14" s="3" t="s">
        <v>36</v>
      </c>
      <c r="B14" t="s">
        <v>37</v>
      </c>
      <c r="C14" s="3"/>
      <c r="D14" s="70"/>
      <c r="F14" s="224" t="s">
        <v>38</v>
      </c>
      <c r="G14" s="224"/>
      <c r="H14" s="64"/>
      <c r="I14" s="64"/>
      <c r="J14" s="64"/>
      <c r="K14" s="64"/>
      <c r="L14" s="64"/>
      <c r="M14" s="64"/>
      <c r="N14" s="64"/>
      <c r="O14" s="64"/>
      <c r="P14" s="64"/>
      <c r="Q14" s="64"/>
      <c r="R14" s="64"/>
      <c r="S14" s="64"/>
      <c r="T14" s="64"/>
      <c r="U14" s="64"/>
    </row>
    <row r="15" spans="1:21" x14ac:dyDescent="0.25">
      <c r="A15" s="3" t="s">
        <v>39</v>
      </c>
      <c r="B15" t="s">
        <v>40</v>
      </c>
      <c r="C15" s="3"/>
      <c r="D15" s="70"/>
      <c r="F15" s="64" t="s">
        <v>3</v>
      </c>
      <c r="G15" s="64" t="s">
        <v>24</v>
      </c>
      <c r="H15" s="64"/>
      <c r="I15" s="64"/>
      <c r="J15" s="64"/>
      <c r="K15" s="64"/>
      <c r="L15" s="64"/>
      <c r="M15" s="64"/>
      <c r="N15" s="64"/>
      <c r="O15" s="64"/>
      <c r="P15" s="64"/>
      <c r="Q15" s="64"/>
      <c r="R15" s="64"/>
      <c r="S15" s="64"/>
      <c r="T15" s="64"/>
      <c r="U15" s="64"/>
    </row>
    <row r="16" spans="1:21" x14ac:dyDescent="0.25">
      <c r="A16" s="3" t="s">
        <v>41</v>
      </c>
      <c r="B16" t="s">
        <v>42</v>
      </c>
      <c r="C16" s="3"/>
      <c r="D16" s="70">
        <v>200</v>
      </c>
      <c r="F16" s="64" t="s">
        <v>43</v>
      </c>
      <c r="G16" s="71">
        <v>0.03</v>
      </c>
      <c r="H16" s="64"/>
      <c r="I16" s="64"/>
      <c r="J16" s="64"/>
      <c r="K16" s="64"/>
      <c r="L16" s="64"/>
      <c r="M16" s="64"/>
      <c r="N16" s="64"/>
      <c r="O16" s="64"/>
      <c r="P16" s="64"/>
      <c r="Q16" s="64"/>
      <c r="R16" s="64"/>
      <c r="S16" s="64"/>
      <c r="T16" s="64"/>
      <c r="U16" s="64"/>
    </row>
    <row r="17" spans="1:21" x14ac:dyDescent="0.25">
      <c r="A17" s="3" t="s">
        <v>44</v>
      </c>
      <c r="C17" s="3"/>
      <c r="D17" s="70">
        <f>SUBTOTAL(109,D11:D16)</f>
        <v>1406.74</v>
      </c>
      <c r="F17" s="64" t="s">
        <v>45</v>
      </c>
      <c r="G17" s="71">
        <v>6.7900000000000002E-2</v>
      </c>
      <c r="H17" s="64"/>
      <c r="I17" s="64"/>
      <c r="J17" s="64"/>
      <c r="K17" s="64"/>
      <c r="L17" s="64"/>
      <c r="M17" s="64"/>
      <c r="N17" s="64"/>
      <c r="O17" s="64"/>
      <c r="P17" s="64"/>
      <c r="Q17" s="64"/>
      <c r="R17" s="64"/>
      <c r="S17" s="64"/>
      <c r="T17" s="64"/>
      <c r="U17" s="64"/>
    </row>
    <row r="18" spans="1:21" x14ac:dyDescent="0.25">
      <c r="F18" s="64" t="s">
        <v>46</v>
      </c>
      <c r="G18" s="72">
        <v>1.6500000000000001E-2</v>
      </c>
      <c r="H18" s="64"/>
      <c r="I18" s="64"/>
      <c r="J18" s="64"/>
      <c r="K18" s="64"/>
      <c r="L18" s="64"/>
      <c r="M18" s="64"/>
      <c r="N18" s="64"/>
      <c r="O18" s="64"/>
      <c r="P18" s="64"/>
      <c r="Q18" s="64"/>
      <c r="R18" s="64"/>
      <c r="S18" s="64"/>
      <c r="T18" s="64"/>
      <c r="U18" s="64"/>
    </row>
    <row r="19" spans="1:21" x14ac:dyDescent="0.25">
      <c r="A19" s="222" t="s">
        <v>47</v>
      </c>
      <c r="B19" s="222"/>
      <c r="C19" s="222"/>
      <c r="D19" s="222"/>
      <c r="F19" s="64" t="s">
        <v>48</v>
      </c>
      <c r="G19" s="72">
        <v>7.5999999999999998E-2</v>
      </c>
      <c r="H19" s="64"/>
      <c r="I19" s="64"/>
      <c r="J19" s="64"/>
      <c r="K19" s="64"/>
      <c r="L19" s="64"/>
      <c r="M19" s="64"/>
      <c r="N19" s="64"/>
      <c r="O19" s="64"/>
      <c r="P19" s="64"/>
      <c r="Q19" s="64"/>
      <c r="R19" s="64"/>
      <c r="S19" s="64"/>
      <c r="T19" s="64"/>
      <c r="U19" s="64"/>
    </row>
    <row r="20" spans="1:21" x14ac:dyDescent="0.25">
      <c r="A20" s="224" t="s">
        <v>49</v>
      </c>
      <c r="B20" s="224"/>
      <c r="C20" s="224"/>
      <c r="D20" s="224"/>
      <c r="F20" s="64" t="s">
        <v>50</v>
      </c>
      <c r="G20" s="72">
        <v>0.05</v>
      </c>
      <c r="H20" s="64"/>
      <c r="I20" s="64"/>
      <c r="J20" s="64"/>
      <c r="K20" s="64"/>
      <c r="L20" s="64"/>
      <c r="M20" s="64"/>
      <c r="N20" s="64"/>
      <c r="O20" s="64"/>
      <c r="P20" s="64"/>
      <c r="Q20" s="64"/>
      <c r="R20" s="64"/>
      <c r="S20" s="64"/>
      <c r="T20" s="64"/>
      <c r="U20" s="64"/>
    </row>
    <row r="21" spans="1:21" x14ac:dyDescent="0.25">
      <c r="A21" s="3" t="s">
        <v>51</v>
      </c>
      <c r="B21" t="s">
        <v>52</v>
      </c>
      <c r="C21" s="3" t="s">
        <v>4</v>
      </c>
      <c r="D21" s="3" t="s">
        <v>5</v>
      </c>
      <c r="F21" s="64"/>
      <c r="G21" s="64"/>
      <c r="H21" s="64"/>
      <c r="I21" s="64"/>
      <c r="J21" s="64"/>
      <c r="K21" s="64"/>
      <c r="L21" s="64"/>
      <c r="M21" s="64"/>
      <c r="N21" s="64"/>
      <c r="O21" s="64"/>
      <c r="P21" s="64"/>
      <c r="Q21" s="64"/>
      <c r="R21" s="64"/>
      <c r="S21" s="64"/>
      <c r="T21" s="64"/>
      <c r="U21" s="64"/>
    </row>
    <row r="22" spans="1:21" x14ac:dyDescent="0.25">
      <c r="A22" s="3" t="s">
        <v>28</v>
      </c>
      <c r="B22" t="s">
        <v>53</v>
      </c>
      <c r="D22" s="70">
        <f>Encarregado!$D$17/12</f>
        <v>117.22833333333334</v>
      </c>
      <c r="F22" s="224" t="s">
        <v>54</v>
      </c>
      <c r="G22" s="224"/>
      <c r="H22" s="64"/>
      <c r="I22" s="64"/>
      <c r="J22" s="64"/>
      <c r="K22" s="64"/>
      <c r="L22" s="64"/>
      <c r="M22" s="64"/>
      <c r="N22" s="64"/>
      <c r="O22" s="64"/>
      <c r="P22" s="64"/>
      <c r="Q22" s="64"/>
      <c r="R22" s="64"/>
      <c r="S22" s="64"/>
      <c r="T22" s="64"/>
      <c r="U22" s="64"/>
    </row>
    <row r="23" spans="1:21" x14ac:dyDescent="0.25">
      <c r="A23" s="3" t="s">
        <v>31</v>
      </c>
      <c r="B23" t="s">
        <v>55</v>
      </c>
      <c r="D23" s="70">
        <f>(Encarregado!$D$17/12)*(1/3)</f>
        <v>39.076111111111111</v>
      </c>
      <c r="E23" s="8"/>
      <c r="F23" s="3" t="s">
        <v>3</v>
      </c>
      <c r="G23" s="3" t="s">
        <v>5</v>
      </c>
      <c r="H23" s="64"/>
      <c r="I23" s="64"/>
      <c r="J23" s="64"/>
      <c r="K23" s="64"/>
      <c r="L23" s="64"/>
      <c r="M23" s="64"/>
      <c r="N23" s="64"/>
      <c r="O23" s="64"/>
      <c r="P23" s="64"/>
      <c r="Q23" s="64"/>
      <c r="R23" s="64"/>
      <c r="S23" s="64"/>
      <c r="T23" s="64"/>
      <c r="U23" s="64"/>
    </row>
    <row r="24" spans="1:21" x14ac:dyDescent="0.25">
      <c r="A24" s="3" t="s">
        <v>44</v>
      </c>
      <c r="D24" s="70">
        <f>SUBTOTAL(109,D22:D23)</f>
        <v>156.30444444444444</v>
      </c>
      <c r="F24" s="64" t="s">
        <v>56</v>
      </c>
      <c r="G24" s="73">
        <f>((D17+D24+(D17/12))*(100%+C41))/30</f>
        <v>76.620438666666658</v>
      </c>
      <c r="H24" s="64"/>
      <c r="I24" s="64"/>
      <c r="J24" s="64"/>
      <c r="K24" s="64"/>
      <c r="L24" s="64"/>
      <c r="M24" s="64"/>
      <c r="N24" s="64"/>
      <c r="O24" s="64"/>
      <c r="P24" s="64"/>
      <c r="Q24" s="64"/>
      <c r="R24" s="64"/>
      <c r="S24" s="64"/>
      <c r="T24" s="64"/>
      <c r="U24" s="64"/>
    </row>
    <row r="25" spans="1:21" x14ac:dyDescent="0.25">
      <c r="A25" s="3"/>
      <c r="D25" s="70"/>
      <c r="F25" s="64" t="s">
        <v>57</v>
      </c>
      <c r="G25" s="73">
        <f>((D17*(1+(1/3))*(100%+C41))/12)/30</f>
        <v>7.1274826666666664</v>
      </c>
      <c r="H25" s="64"/>
      <c r="I25" s="64"/>
      <c r="J25" s="64"/>
      <c r="K25" s="64"/>
      <c r="L25" s="64"/>
      <c r="M25" s="64"/>
      <c r="N25" s="64"/>
      <c r="O25" s="64"/>
      <c r="P25" s="64"/>
      <c r="Q25" s="64"/>
      <c r="R25" s="64"/>
      <c r="S25" s="64"/>
      <c r="T25" s="64"/>
      <c r="U25" s="64"/>
    </row>
    <row r="26" spans="1:21" x14ac:dyDescent="0.25">
      <c r="A26" s="227" t="s">
        <v>58</v>
      </c>
      <c r="B26" s="227"/>
      <c r="C26" s="227"/>
      <c r="D26" s="227"/>
      <c r="F26" s="64"/>
      <c r="G26" s="64"/>
      <c r="H26" s="64"/>
      <c r="I26" s="64"/>
      <c r="J26" s="64"/>
      <c r="K26" s="64"/>
      <c r="L26" s="64"/>
      <c r="M26" s="64"/>
      <c r="N26" s="64"/>
      <c r="O26" s="64"/>
      <c r="P26" s="64"/>
      <c r="Q26" s="64"/>
      <c r="R26" s="64"/>
      <c r="S26" s="64"/>
      <c r="T26" s="64"/>
      <c r="U26" s="64"/>
    </row>
    <row r="27" spans="1:21" x14ac:dyDescent="0.25">
      <c r="A27" s="74" t="s">
        <v>2</v>
      </c>
      <c r="B27" s="74" t="s">
        <v>59</v>
      </c>
      <c r="C27" s="74" t="s">
        <v>60</v>
      </c>
      <c r="D27" s="75" t="s">
        <v>61</v>
      </c>
      <c r="F27" s="64"/>
      <c r="G27" s="64"/>
      <c r="H27" s="64"/>
      <c r="I27" s="64"/>
      <c r="J27" s="64"/>
      <c r="K27" s="64"/>
      <c r="L27" s="64"/>
      <c r="M27" s="64"/>
      <c r="N27" s="64"/>
      <c r="O27" s="64"/>
      <c r="P27" s="64"/>
      <c r="Q27" s="64"/>
      <c r="R27" s="64"/>
      <c r="S27" s="64"/>
      <c r="T27" s="64"/>
      <c r="U27" s="64"/>
    </row>
    <row r="28" spans="1:21" ht="30" x14ac:dyDescent="0.25">
      <c r="A28" s="4" t="s">
        <v>28</v>
      </c>
      <c r="B28" s="76" t="s">
        <v>62</v>
      </c>
      <c r="C28" s="2" t="s">
        <v>63</v>
      </c>
      <c r="D28" s="76" t="s">
        <v>64</v>
      </c>
      <c r="F28" s="64"/>
      <c r="G28" s="64"/>
      <c r="H28" s="64"/>
      <c r="I28" s="64"/>
      <c r="J28" s="64"/>
      <c r="K28" s="64"/>
      <c r="L28" s="64"/>
      <c r="M28" s="64"/>
      <c r="N28" s="64"/>
      <c r="O28" s="64"/>
      <c r="P28" s="64"/>
      <c r="Q28" s="64"/>
      <c r="R28" s="64"/>
      <c r="S28" s="64"/>
      <c r="T28" s="64"/>
      <c r="U28" s="64"/>
    </row>
    <row r="29" spans="1:21" x14ac:dyDescent="0.25">
      <c r="A29" s="4" t="s">
        <v>31</v>
      </c>
      <c r="B29" s="77" t="s">
        <v>55</v>
      </c>
      <c r="C29" s="2" t="s">
        <v>63</v>
      </c>
      <c r="D29" s="76" t="s">
        <v>65</v>
      </c>
      <c r="F29" s="64"/>
      <c r="G29" s="64"/>
      <c r="H29" s="64"/>
      <c r="I29" s="64"/>
      <c r="J29" s="64"/>
      <c r="K29" s="64"/>
      <c r="L29" s="64"/>
      <c r="M29" s="64"/>
      <c r="N29" s="64"/>
      <c r="O29" s="64"/>
      <c r="P29" s="64"/>
      <c r="Q29" s="64"/>
      <c r="R29" s="64"/>
      <c r="S29" s="64"/>
      <c r="T29" s="64"/>
      <c r="U29" s="64"/>
    </row>
    <row r="30" spans="1:21" x14ac:dyDescent="0.25">
      <c r="A30" s="3"/>
      <c r="B30" s="3"/>
      <c r="C30" s="78"/>
      <c r="F30" s="64"/>
      <c r="G30" s="64"/>
      <c r="H30" s="64"/>
      <c r="I30" s="64"/>
      <c r="J30" s="64"/>
      <c r="K30" s="64"/>
      <c r="L30" s="64"/>
      <c r="M30" s="64"/>
      <c r="N30" s="64"/>
      <c r="O30" s="64"/>
      <c r="P30" s="64"/>
      <c r="Q30" s="64"/>
      <c r="R30" s="64"/>
      <c r="S30" s="64"/>
      <c r="T30" s="64"/>
      <c r="U30" s="64"/>
    </row>
    <row r="31" spans="1:21" x14ac:dyDescent="0.25">
      <c r="A31" s="224" t="s">
        <v>66</v>
      </c>
      <c r="B31" s="224"/>
      <c r="C31" s="224"/>
      <c r="D31" s="224"/>
    </row>
    <row r="32" spans="1:21" x14ac:dyDescent="0.25">
      <c r="A32" s="3" t="s">
        <v>67</v>
      </c>
      <c r="B32" t="s">
        <v>68</v>
      </c>
      <c r="C32" s="3" t="s">
        <v>24</v>
      </c>
      <c r="D32" s="3" t="s">
        <v>69</v>
      </c>
    </row>
    <row r="33" spans="1:4" x14ac:dyDescent="0.25">
      <c r="A33" s="3" t="s">
        <v>28</v>
      </c>
      <c r="B33" t="s">
        <v>70</v>
      </c>
      <c r="C33" s="79">
        <v>0.2</v>
      </c>
      <c r="D33" s="70">
        <f>C33*(Encarregado!$D$17+Encarregado!$D$24)</f>
        <v>312.60888888888894</v>
      </c>
    </row>
    <row r="34" spans="1:4" x14ac:dyDescent="0.25">
      <c r="A34" s="3" t="s">
        <v>31</v>
      </c>
      <c r="B34" t="s">
        <v>71</v>
      </c>
      <c r="C34" s="79">
        <v>2.5000000000000001E-2</v>
      </c>
      <c r="D34" s="70">
        <f>C34*(Encarregado!$D$17+Encarregado!$D$24)</f>
        <v>39.076111111111118</v>
      </c>
    </row>
    <row r="35" spans="1:4" x14ac:dyDescent="0.25">
      <c r="A35" s="3" t="s">
        <v>34</v>
      </c>
      <c r="B35" t="s">
        <v>72</v>
      </c>
      <c r="C35" s="79">
        <f>Encarregado!G6</f>
        <v>0.03</v>
      </c>
      <c r="D35" s="70">
        <f>C35*(Encarregado!$D$17+Encarregado!$D$24)</f>
        <v>46.891333333333336</v>
      </c>
    </row>
    <row r="36" spans="1:4" x14ac:dyDescent="0.25">
      <c r="A36" s="3" t="s">
        <v>36</v>
      </c>
      <c r="B36" t="s">
        <v>73</v>
      </c>
      <c r="C36" s="79">
        <v>1.4999999999999999E-2</v>
      </c>
      <c r="D36" s="70">
        <f>C36*(Encarregado!$D$17+Encarregado!$D$24)</f>
        <v>23.445666666666668</v>
      </c>
    </row>
    <row r="37" spans="1:4" x14ac:dyDescent="0.25">
      <c r="A37" s="3" t="s">
        <v>39</v>
      </c>
      <c r="B37" t="s">
        <v>74</v>
      </c>
      <c r="C37" s="79">
        <v>0.01</v>
      </c>
      <c r="D37" s="70">
        <f>C37*(Encarregado!$D$17+Encarregado!$D$24)</f>
        <v>15.630444444444445</v>
      </c>
    </row>
    <row r="38" spans="1:4" x14ac:dyDescent="0.25">
      <c r="A38" s="3" t="s">
        <v>41</v>
      </c>
      <c r="B38" t="s">
        <v>75</v>
      </c>
      <c r="C38" s="79">
        <v>6.0000000000000001E-3</v>
      </c>
      <c r="D38" s="70">
        <f>C38*(Encarregado!$D$17+Encarregado!$D$24)</f>
        <v>9.3782666666666668</v>
      </c>
    </row>
    <row r="39" spans="1:4" x14ac:dyDescent="0.25">
      <c r="A39" s="3" t="s">
        <v>76</v>
      </c>
      <c r="B39" t="s">
        <v>77</v>
      </c>
      <c r="C39" s="79">
        <v>2E-3</v>
      </c>
      <c r="D39" s="70">
        <f>C39*(Encarregado!$D$17+Encarregado!$D$24)</f>
        <v>3.1260888888888889</v>
      </c>
    </row>
    <row r="40" spans="1:4" x14ac:dyDescent="0.25">
      <c r="A40" s="3" t="s">
        <v>78</v>
      </c>
      <c r="B40" t="s">
        <v>79</v>
      </c>
      <c r="C40" s="79">
        <v>0.08</v>
      </c>
      <c r="D40" s="70">
        <f>C40*(Encarregado!$D$17+Encarregado!$D$24)</f>
        <v>125.04355555555556</v>
      </c>
    </row>
    <row r="41" spans="1:4" x14ac:dyDescent="0.25">
      <c r="A41" s="3" t="s">
        <v>44</v>
      </c>
      <c r="C41" s="80">
        <f>SUBTOTAL(109,C33:C40)</f>
        <v>0.36800000000000005</v>
      </c>
      <c r="D41" s="70">
        <v>575.20035555555603</v>
      </c>
    </row>
    <row r="42" spans="1:4" x14ac:dyDescent="0.25">
      <c r="A42" s="3"/>
      <c r="C42" s="80"/>
      <c r="D42" s="70"/>
    </row>
    <row r="43" spans="1:4" x14ac:dyDescent="0.25">
      <c r="A43" s="227" t="s">
        <v>80</v>
      </c>
      <c r="B43" s="227"/>
      <c r="C43" s="227"/>
      <c r="D43" s="227"/>
    </row>
    <row r="44" spans="1:4" x14ac:dyDescent="0.25">
      <c r="A44" s="74" t="s">
        <v>2</v>
      </c>
      <c r="B44" s="74" t="s">
        <v>59</v>
      </c>
      <c r="C44" s="74" t="s">
        <v>60</v>
      </c>
      <c r="D44" s="75" t="s">
        <v>61</v>
      </c>
    </row>
    <row r="45" spans="1:4" ht="30" x14ac:dyDescent="0.25">
      <c r="A45" s="4" t="s">
        <v>81</v>
      </c>
      <c r="B45" s="76" t="s">
        <v>68</v>
      </c>
      <c r="C45" s="76" t="s">
        <v>82</v>
      </c>
      <c r="D45" s="76" t="s">
        <v>83</v>
      </c>
    </row>
    <row r="47" spans="1:4" x14ac:dyDescent="0.25">
      <c r="A47" s="224" t="s">
        <v>84</v>
      </c>
      <c r="B47" s="224"/>
      <c r="C47" s="224"/>
      <c r="D47" s="224"/>
    </row>
    <row r="48" spans="1:4" x14ac:dyDescent="0.25">
      <c r="A48" s="3" t="s">
        <v>85</v>
      </c>
      <c r="B48" t="s">
        <v>86</v>
      </c>
      <c r="C48" s="3" t="s">
        <v>4</v>
      </c>
      <c r="D48" s="3" t="s">
        <v>5</v>
      </c>
    </row>
    <row r="49" spans="1:4" x14ac:dyDescent="0.25">
      <c r="A49" s="3" t="s">
        <v>28</v>
      </c>
      <c r="B49" t="s">
        <v>87</v>
      </c>
      <c r="D49" s="70">
        <f>IF(G3=0,0,(Encarregado!G3*2*Encarregado!G5)-(6%*_1A))</f>
        <v>94.795599999999993</v>
      </c>
    </row>
    <row r="50" spans="1:4" x14ac:dyDescent="0.25">
      <c r="A50" s="3" t="s">
        <v>31</v>
      </c>
      <c r="B50" t="s">
        <v>88</v>
      </c>
      <c r="D50" s="70">
        <f>(Encarregado!G4*Encarregado!G5)*80%</f>
        <v>246.4</v>
      </c>
    </row>
    <row r="51" spans="1:4" x14ac:dyDescent="0.25">
      <c r="A51" s="3" t="s">
        <v>34</v>
      </c>
      <c r="B51" t="s">
        <v>89</v>
      </c>
      <c r="D51" s="70"/>
    </row>
    <row r="52" spans="1:4" x14ac:dyDescent="0.25">
      <c r="A52" s="3" t="s">
        <v>36</v>
      </c>
      <c r="B52" t="s">
        <v>90</v>
      </c>
      <c r="C52" t="s">
        <v>91</v>
      </c>
      <c r="D52" s="70">
        <v>4</v>
      </c>
    </row>
    <row r="53" spans="1:4" x14ac:dyDescent="0.25">
      <c r="A53" s="3" t="s">
        <v>39</v>
      </c>
      <c r="B53" t="s">
        <v>92</v>
      </c>
      <c r="C53" t="s">
        <v>93</v>
      </c>
      <c r="D53" s="70">
        <v>15</v>
      </c>
    </row>
    <row r="54" spans="1:4" x14ac:dyDescent="0.25">
      <c r="A54" s="3" t="s">
        <v>44</v>
      </c>
      <c r="D54" s="70">
        <f>SUBTOTAL(109,D49:D53)</f>
        <v>360.19560000000001</v>
      </c>
    </row>
    <row r="55" spans="1:4" x14ac:dyDescent="0.25">
      <c r="A55" s="3"/>
      <c r="D55" s="70"/>
    </row>
    <row r="56" spans="1:4" x14ac:dyDescent="0.25">
      <c r="A56" s="227" t="s">
        <v>94</v>
      </c>
      <c r="B56" s="227"/>
      <c r="C56" s="227"/>
      <c r="D56" s="227"/>
    </row>
    <row r="57" spans="1:4" x14ac:dyDescent="0.25">
      <c r="A57" s="74" t="s">
        <v>2</v>
      </c>
      <c r="B57" s="74" t="s">
        <v>59</v>
      </c>
      <c r="C57" s="74" t="s">
        <v>60</v>
      </c>
      <c r="D57" s="74" t="s">
        <v>61</v>
      </c>
    </row>
    <row r="58" spans="1:4" ht="45" x14ac:dyDescent="0.25">
      <c r="A58" s="4" t="s">
        <v>28</v>
      </c>
      <c r="B58" s="76" t="s">
        <v>87</v>
      </c>
      <c r="C58" s="2" t="s">
        <v>95</v>
      </c>
      <c r="D58" s="2" t="s">
        <v>96</v>
      </c>
    </row>
    <row r="59" spans="1:4" ht="30" x14ac:dyDescent="0.25">
      <c r="A59" s="4" t="s">
        <v>31</v>
      </c>
      <c r="B59" s="77" t="s">
        <v>88</v>
      </c>
      <c r="C59" s="2" t="s">
        <v>95</v>
      </c>
      <c r="D59" s="2" t="s">
        <v>97</v>
      </c>
    </row>
    <row r="60" spans="1:4" ht="19.5" customHeight="1" x14ac:dyDescent="0.25">
      <c r="A60" s="3"/>
      <c r="D60" s="70"/>
    </row>
    <row r="61" spans="1:4" x14ac:dyDescent="0.25">
      <c r="A61" s="224" t="s">
        <v>98</v>
      </c>
      <c r="B61" s="224"/>
      <c r="C61" s="224"/>
      <c r="D61" s="224"/>
    </row>
    <row r="62" spans="1:4" x14ac:dyDescent="0.25">
      <c r="A62" s="3" t="s">
        <v>99</v>
      </c>
      <c r="B62" t="s">
        <v>100</v>
      </c>
      <c r="C62" s="3" t="s">
        <v>4</v>
      </c>
      <c r="D62" s="3" t="s">
        <v>5</v>
      </c>
    </row>
    <row r="63" spans="1:4" x14ac:dyDescent="0.25">
      <c r="A63" s="3" t="s">
        <v>51</v>
      </c>
      <c r="B63" t="s">
        <v>52</v>
      </c>
      <c r="C63" s="3"/>
      <c r="D63" s="70">
        <f>Encarregado!$D$24</f>
        <v>156.30444444444444</v>
      </c>
    </row>
    <row r="64" spans="1:4" x14ac:dyDescent="0.25">
      <c r="A64" s="3" t="s">
        <v>67</v>
      </c>
      <c r="B64" t="s">
        <v>68</v>
      </c>
      <c r="C64" s="3"/>
      <c r="D64" s="70">
        <f>Encarregado!$D$41</f>
        <v>575.20035555555603</v>
      </c>
    </row>
    <row r="65" spans="1:4" x14ac:dyDescent="0.25">
      <c r="A65" s="3" t="s">
        <v>85</v>
      </c>
      <c r="B65" t="s">
        <v>86</v>
      </c>
      <c r="C65" s="3"/>
      <c r="D65" s="70">
        <f>Encarregado!$D$54</f>
        <v>360.19560000000001</v>
      </c>
    </row>
    <row r="66" spans="1:4" x14ac:dyDescent="0.25">
      <c r="A66" s="3" t="s">
        <v>44</v>
      </c>
      <c r="C66" s="3"/>
      <c r="D66" s="70">
        <v>1091.7003999999999</v>
      </c>
    </row>
    <row r="68" spans="1:4" x14ac:dyDescent="0.25">
      <c r="A68" s="225" t="s">
        <v>101</v>
      </c>
      <c r="B68" s="225"/>
      <c r="C68" s="225"/>
      <c r="D68" s="225"/>
    </row>
    <row r="69" spans="1:4" x14ac:dyDescent="0.25">
      <c r="A69" s="3" t="s">
        <v>102</v>
      </c>
      <c r="B69" t="s">
        <v>103</v>
      </c>
      <c r="C69" s="3" t="s">
        <v>4</v>
      </c>
      <c r="D69" s="3" t="s">
        <v>5</v>
      </c>
    </row>
    <row r="70" spans="1:4" x14ac:dyDescent="0.25">
      <c r="A70" s="3" t="s">
        <v>28</v>
      </c>
      <c r="B70" t="s">
        <v>104</v>
      </c>
      <c r="D70" s="70">
        <f>((Encarregado!$D$17+D63+D65)/12)*G10</f>
        <v>69.5091006062963</v>
      </c>
    </row>
    <row r="71" spans="1:4" x14ac:dyDescent="0.25">
      <c r="A71" s="3" t="s">
        <v>31</v>
      </c>
      <c r="B71" t="s">
        <v>105</v>
      </c>
      <c r="D71" s="70">
        <f>(D40/12)*Encarregado!G10</f>
        <v>4.5192825037037032</v>
      </c>
    </row>
    <row r="72" spans="1:4" x14ac:dyDescent="0.25">
      <c r="A72" s="3" t="s">
        <v>34</v>
      </c>
      <c r="B72" t="s">
        <v>106</v>
      </c>
      <c r="D72" s="70">
        <f>D40*50%*Encarregado!G10</f>
        <v>27.115695022222219</v>
      </c>
    </row>
    <row r="73" spans="1:4" x14ac:dyDescent="0.25">
      <c r="A73" s="3" t="s">
        <v>36</v>
      </c>
      <c r="B73" t="s">
        <v>107</v>
      </c>
      <c r="D73" s="70">
        <f>((Encarregado!$D$17+Encarregado!$D$66)/12)*G11</f>
        <v>90.297800123333317</v>
      </c>
    </row>
    <row r="74" spans="1:4" x14ac:dyDescent="0.25">
      <c r="A74" s="3" t="s">
        <v>39</v>
      </c>
      <c r="B74" t="s">
        <v>108</v>
      </c>
      <c r="D74" s="70">
        <f>D40*50%*Encarregado!G11</f>
        <v>27.115695022222219</v>
      </c>
    </row>
    <row r="75" spans="1:4" x14ac:dyDescent="0.25">
      <c r="A75" s="3" t="s">
        <v>41</v>
      </c>
      <c r="B75" t="s">
        <v>109</v>
      </c>
      <c r="D75" s="70">
        <f>-D63*Encarregado!G12</f>
        <v>-3.4074368888888888</v>
      </c>
    </row>
    <row r="76" spans="1:4" x14ac:dyDescent="0.25">
      <c r="A76" s="3" t="s">
        <v>44</v>
      </c>
      <c r="D76" s="70">
        <v>215.150136388889</v>
      </c>
    </row>
    <row r="77" spans="1:4" x14ac:dyDescent="0.25">
      <c r="A77" s="3"/>
      <c r="D77" s="70"/>
    </row>
    <row r="78" spans="1:4" x14ac:dyDescent="0.25">
      <c r="A78" s="227" t="s">
        <v>110</v>
      </c>
      <c r="B78" s="227"/>
      <c r="C78" s="227"/>
      <c r="D78" s="227"/>
    </row>
    <row r="79" spans="1:4" x14ac:dyDescent="0.25">
      <c r="A79" s="74" t="s">
        <v>2</v>
      </c>
      <c r="B79" s="74" t="s">
        <v>59</v>
      </c>
      <c r="C79" s="74" t="s">
        <v>60</v>
      </c>
      <c r="D79" s="74" t="s">
        <v>61</v>
      </c>
    </row>
    <row r="80" spans="1:4" ht="60" x14ac:dyDescent="0.25">
      <c r="A80" s="4" t="s">
        <v>28</v>
      </c>
      <c r="B80" s="76" t="s">
        <v>104</v>
      </c>
      <c r="C80" s="2" t="s">
        <v>111</v>
      </c>
      <c r="D80" s="2" t="s">
        <v>112</v>
      </c>
    </row>
    <row r="81" spans="1:5" ht="60" x14ac:dyDescent="0.25">
      <c r="A81" s="4" t="s">
        <v>31</v>
      </c>
      <c r="B81" s="77" t="s">
        <v>105</v>
      </c>
      <c r="C81" s="2" t="s">
        <v>113</v>
      </c>
      <c r="D81" s="2" t="s">
        <v>112</v>
      </c>
    </row>
    <row r="82" spans="1:5" ht="75" x14ac:dyDescent="0.25">
      <c r="A82" s="4" t="s">
        <v>34</v>
      </c>
      <c r="B82" s="77" t="s">
        <v>106</v>
      </c>
      <c r="C82" s="2" t="s">
        <v>113</v>
      </c>
      <c r="D82" s="81" t="s">
        <v>114</v>
      </c>
    </row>
    <row r="83" spans="1:5" ht="60" x14ac:dyDescent="0.25">
      <c r="A83" s="4" t="s">
        <v>36</v>
      </c>
      <c r="B83" s="82" t="s">
        <v>107</v>
      </c>
      <c r="C83" s="2" t="s">
        <v>115</v>
      </c>
      <c r="D83" s="81" t="s">
        <v>116</v>
      </c>
    </row>
    <row r="84" spans="1:5" ht="75" x14ac:dyDescent="0.25">
      <c r="A84" s="4" t="s">
        <v>39</v>
      </c>
      <c r="B84" s="82" t="s">
        <v>108</v>
      </c>
      <c r="C84" s="2" t="s">
        <v>113</v>
      </c>
      <c r="D84" s="81" t="s">
        <v>117</v>
      </c>
    </row>
    <row r="85" spans="1:5" ht="60" x14ac:dyDescent="0.25">
      <c r="A85" s="4" t="s">
        <v>41</v>
      </c>
      <c r="B85" s="82" t="s">
        <v>109</v>
      </c>
      <c r="C85" s="2" t="s">
        <v>118</v>
      </c>
      <c r="D85" s="81" t="s">
        <v>119</v>
      </c>
    </row>
    <row r="87" spans="1:5" x14ac:dyDescent="0.25">
      <c r="A87" s="228" t="s">
        <v>120</v>
      </c>
      <c r="B87" s="222"/>
      <c r="C87" s="222"/>
      <c r="D87" s="222"/>
    </row>
    <row r="88" spans="1:5" x14ac:dyDescent="0.25">
      <c r="A88" s="226" t="s">
        <v>121</v>
      </c>
      <c r="B88" s="226"/>
      <c r="C88" s="226"/>
      <c r="D88" s="226"/>
    </row>
    <row r="89" spans="1:5" x14ac:dyDescent="0.25">
      <c r="A89" s="3" t="s">
        <v>122</v>
      </c>
      <c r="B89" t="s">
        <v>123</v>
      </c>
      <c r="C89" s="3" t="s">
        <v>124</v>
      </c>
      <c r="D89" s="3" t="s">
        <v>5</v>
      </c>
    </row>
    <row r="90" spans="1:5" x14ac:dyDescent="0.25">
      <c r="A90" s="3" t="s">
        <v>28</v>
      </c>
      <c r="B90" t="s">
        <v>125</v>
      </c>
      <c r="C90" s="3">
        <v>30</v>
      </c>
      <c r="D90" s="70">
        <f t="shared" ref="D90:D95" si="0">(C90*G$24)/12</f>
        <v>191.55109666666667</v>
      </c>
      <c r="E90" s="8"/>
    </row>
    <row r="91" spans="1:5" x14ac:dyDescent="0.25">
      <c r="A91" s="3" t="s">
        <v>31</v>
      </c>
      <c r="B91" t="s">
        <v>126</v>
      </c>
      <c r="C91" s="3">
        <v>1.4180999999999999</v>
      </c>
      <c r="D91" s="70">
        <f t="shared" si="0"/>
        <v>9.0546203394333329</v>
      </c>
      <c r="E91" s="8"/>
    </row>
    <row r="92" spans="1:5" x14ac:dyDescent="0.25">
      <c r="A92" s="3" t="s">
        <v>34</v>
      </c>
      <c r="B92" t="s">
        <v>127</v>
      </c>
      <c r="C92" s="3">
        <v>0.1898</v>
      </c>
      <c r="D92" s="70">
        <f t="shared" si="0"/>
        <v>1.2118799382444443</v>
      </c>
      <c r="E92" s="8"/>
    </row>
    <row r="93" spans="1:5" x14ac:dyDescent="0.25">
      <c r="A93" s="3" t="s">
        <v>36</v>
      </c>
      <c r="B93" t="s">
        <v>128</v>
      </c>
      <c r="C93" s="3">
        <v>0.95450000000000002</v>
      </c>
      <c r="D93" s="70">
        <f t="shared" si="0"/>
        <v>6.0945173922777771</v>
      </c>
      <c r="E93" s="8"/>
    </row>
    <row r="94" spans="1:5" x14ac:dyDescent="0.25">
      <c r="A94" s="3" t="s">
        <v>39</v>
      </c>
      <c r="B94" t="s">
        <v>129</v>
      </c>
      <c r="C94" s="3">
        <v>2.4723000000000002</v>
      </c>
      <c r="D94" s="70">
        <f>(C94*G$25)/12</f>
        <v>1.4684396164000002</v>
      </c>
      <c r="E94" s="8"/>
    </row>
    <row r="95" spans="1:5" x14ac:dyDescent="0.25">
      <c r="A95" s="3" t="s">
        <v>41</v>
      </c>
      <c r="B95" t="s">
        <v>130</v>
      </c>
      <c r="C95" s="3">
        <v>3.4521000000000002</v>
      </c>
      <c r="D95" s="70">
        <f t="shared" si="0"/>
        <v>22.041784693433332</v>
      </c>
      <c r="E95" s="8"/>
    </row>
    <row r="96" spans="1:5" x14ac:dyDescent="0.25">
      <c r="A96" s="3" t="s">
        <v>44</v>
      </c>
      <c r="C96" s="3">
        <f>SUBTOTAL(109,C90:C95)</f>
        <v>38.486800000000002</v>
      </c>
      <c r="D96" s="70">
        <f>SUBTOTAL(109,D90:D95)</f>
        <v>231.42233864645553</v>
      </c>
    </row>
    <row r="97" spans="1:4" x14ac:dyDescent="0.25">
      <c r="A97" s="3"/>
      <c r="C97" s="3"/>
      <c r="D97" s="70"/>
    </row>
    <row r="98" spans="1:4" x14ac:dyDescent="0.25">
      <c r="A98" s="227" t="s">
        <v>131</v>
      </c>
      <c r="B98" s="227"/>
      <c r="C98" s="227"/>
      <c r="D98" s="227"/>
    </row>
    <row r="99" spans="1:4" x14ac:dyDescent="0.25">
      <c r="A99" s="74" t="s">
        <v>2</v>
      </c>
      <c r="B99" s="74" t="s">
        <v>59</v>
      </c>
      <c r="C99" s="74" t="s">
        <v>60</v>
      </c>
      <c r="D99" s="74" t="s">
        <v>61</v>
      </c>
    </row>
    <row r="100" spans="1:4" x14ac:dyDescent="0.25">
      <c r="A100" s="4" t="s">
        <v>132</v>
      </c>
      <c r="B100" s="76" t="s">
        <v>133</v>
      </c>
      <c r="C100" s="2"/>
      <c r="D100" s="2"/>
    </row>
    <row r="101" spans="1:4" ht="60" x14ac:dyDescent="0.25">
      <c r="A101" s="4" t="s">
        <v>134</v>
      </c>
      <c r="B101" s="77" t="s">
        <v>135</v>
      </c>
      <c r="C101" s="2" t="s">
        <v>136</v>
      </c>
      <c r="D101" s="2" t="s">
        <v>137</v>
      </c>
    </row>
    <row r="102" spans="1:4" ht="60" x14ac:dyDescent="0.25">
      <c r="A102" s="4" t="s">
        <v>39</v>
      </c>
      <c r="B102" s="77" t="s">
        <v>138</v>
      </c>
      <c r="C102" s="2" t="s">
        <v>139</v>
      </c>
      <c r="D102" s="2" t="s">
        <v>137</v>
      </c>
    </row>
    <row r="103" spans="1:4" x14ac:dyDescent="0.25">
      <c r="A103" s="3"/>
      <c r="C103" s="3"/>
      <c r="D103" s="70"/>
    </row>
    <row r="104" spans="1:4" x14ac:dyDescent="0.25">
      <c r="A104" s="224" t="s">
        <v>140</v>
      </c>
      <c r="B104" s="224"/>
      <c r="C104" s="224"/>
      <c r="D104" s="224"/>
    </row>
    <row r="105" spans="1:4" x14ac:dyDescent="0.25">
      <c r="A105" s="3" t="s">
        <v>141</v>
      </c>
      <c r="B105" t="s">
        <v>142</v>
      </c>
      <c r="C105" s="3" t="s">
        <v>4</v>
      </c>
      <c r="D105" s="3" t="s">
        <v>5</v>
      </c>
    </row>
    <row r="106" spans="1:4" x14ac:dyDescent="0.25">
      <c r="A106" s="3" t="s">
        <v>28</v>
      </c>
      <c r="B106" t="s">
        <v>143</v>
      </c>
      <c r="C106" s="3"/>
      <c r="D106" s="70"/>
    </row>
    <row r="107" spans="1:4" x14ac:dyDescent="0.25">
      <c r="A107" s="3" t="s">
        <v>44</v>
      </c>
      <c r="C107" s="3"/>
      <c r="D107" s="70">
        <f>SUBTOTAL(109,D106:D106)</f>
        <v>0</v>
      </c>
    </row>
    <row r="109" spans="1:4" x14ac:dyDescent="0.25">
      <c r="A109" s="226" t="s">
        <v>144</v>
      </c>
      <c r="B109" s="226"/>
      <c r="C109" s="226"/>
      <c r="D109" s="226"/>
    </row>
    <row r="110" spans="1:4" x14ac:dyDescent="0.25">
      <c r="A110" s="3" t="s">
        <v>145</v>
      </c>
      <c r="B110" t="s">
        <v>146</v>
      </c>
      <c r="C110" s="3" t="s">
        <v>4</v>
      </c>
      <c r="D110" s="3" t="s">
        <v>5</v>
      </c>
    </row>
    <row r="111" spans="1:4" x14ac:dyDescent="0.25">
      <c r="A111" s="3" t="s">
        <v>122</v>
      </c>
      <c r="B111" t="s">
        <v>123</v>
      </c>
      <c r="D111" s="70">
        <f>Encarregado!$D$96</f>
        <v>231.42233864645553</v>
      </c>
    </row>
    <row r="112" spans="1:4" x14ac:dyDescent="0.25">
      <c r="A112" s="3" t="s">
        <v>141</v>
      </c>
      <c r="B112" t="s">
        <v>147</v>
      </c>
      <c r="D112" s="70">
        <f>Encarregado!$D$107</f>
        <v>0</v>
      </c>
    </row>
    <row r="113" spans="1:4" x14ac:dyDescent="0.25">
      <c r="A113" s="3" t="s">
        <v>44</v>
      </c>
      <c r="D113" s="70">
        <f>SUBTOTAL(109,D111:D112)</f>
        <v>231.42233864645553</v>
      </c>
    </row>
    <row r="115" spans="1:4" x14ac:dyDescent="0.25">
      <c r="A115" s="225" t="s">
        <v>148</v>
      </c>
      <c r="B115" s="225"/>
      <c r="C115" s="225"/>
      <c r="D115" s="225"/>
    </row>
    <row r="116" spans="1:4" x14ac:dyDescent="0.25">
      <c r="A116" s="3" t="s">
        <v>149</v>
      </c>
      <c r="B116" t="s">
        <v>150</v>
      </c>
      <c r="C116" s="3" t="s">
        <v>4</v>
      </c>
      <c r="D116" s="3" t="s">
        <v>5</v>
      </c>
    </row>
    <row r="117" spans="1:4" x14ac:dyDescent="0.25">
      <c r="A117" s="3" t="s">
        <v>28</v>
      </c>
      <c r="B117" t="s">
        <v>151</v>
      </c>
      <c r="D117" s="70" t="e">
        <f>#REF!</f>
        <v>#REF!</v>
      </c>
    </row>
    <row r="118" spans="1:4" x14ac:dyDescent="0.25">
      <c r="A118" s="3" t="s">
        <v>31</v>
      </c>
      <c r="B118" t="s">
        <v>152</v>
      </c>
      <c r="D118" s="70"/>
    </row>
    <row r="119" spans="1:4" x14ac:dyDescent="0.25">
      <c r="A119" s="3" t="s">
        <v>34</v>
      </c>
      <c r="B119" t="s">
        <v>153</v>
      </c>
      <c r="D119" s="70"/>
    </row>
    <row r="120" spans="1:4" x14ac:dyDescent="0.25">
      <c r="A120" s="3" t="s">
        <v>36</v>
      </c>
      <c r="B120" t="s">
        <v>154</v>
      </c>
      <c r="D120" s="70"/>
    </row>
    <row r="121" spans="1:4" x14ac:dyDescent="0.25">
      <c r="A121" s="3" t="s">
        <v>44</v>
      </c>
      <c r="D121" s="70" t="e">
        <f>SUBTOTAL(109,D117:D120)</f>
        <v>#REF!</v>
      </c>
    </row>
    <row r="122" spans="1:4" x14ac:dyDescent="0.25">
      <c r="A122" s="3"/>
      <c r="D122" s="70"/>
    </row>
    <row r="123" spans="1:4" x14ac:dyDescent="0.25">
      <c r="A123" s="227" t="s">
        <v>155</v>
      </c>
      <c r="B123" s="227"/>
      <c r="C123" s="227"/>
      <c r="D123" s="227"/>
    </row>
    <row r="124" spans="1:4" x14ac:dyDescent="0.25">
      <c r="A124" s="74" t="s">
        <v>2</v>
      </c>
      <c r="B124" s="74" t="s">
        <v>59</v>
      </c>
      <c r="C124" s="74" t="s">
        <v>60</v>
      </c>
      <c r="D124" s="74" t="s">
        <v>61</v>
      </c>
    </row>
    <row r="125" spans="1:4" x14ac:dyDescent="0.25">
      <c r="A125" s="4" t="s">
        <v>28</v>
      </c>
      <c r="B125" s="76" t="s">
        <v>151</v>
      </c>
      <c r="C125" s="2" t="s">
        <v>156</v>
      </c>
      <c r="D125" s="2"/>
    </row>
    <row r="126" spans="1:4" ht="30" x14ac:dyDescent="0.25">
      <c r="A126" s="4" t="s">
        <v>31</v>
      </c>
      <c r="B126" s="77" t="s">
        <v>152</v>
      </c>
      <c r="C126" s="2" t="s">
        <v>157</v>
      </c>
      <c r="D126" s="2" t="s">
        <v>158</v>
      </c>
    </row>
    <row r="127" spans="1:4" ht="30" x14ac:dyDescent="0.25">
      <c r="A127" s="4" t="s">
        <v>34</v>
      </c>
      <c r="B127" s="77" t="s">
        <v>153</v>
      </c>
      <c r="C127" s="2" t="s">
        <v>159</v>
      </c>
      <c r="D127" s="2" t="s">
        <v>158</v>
      </c>
    </row>
    <row r="128" spans="1:4" x14ac:dyDescent="0.25">
      <c r="A128" s="4" t="s">
        <v>36</v>
      </c>
      <c r="B128" s="77" t="s">
        <v>154</v>
      </c>
      <c r="C128" s="2"/>
      <c r="D128" s="2"/>
    </row>
    <row r="130" spans="1:4" x14ac:dyDescent="0.25">
      <c r="A130" s="225" t="s">
        <v>160</v>
      </c>
      <c r="B130" s="225"/>
      <c r="C130" s="225"/>
      <c r="D130" s="225"/>
    </row>
    <row r="131" spans="1:4" outlineLevel="1" x14ac:dyDescent="0.25">
      <c r="A131" s="3" t="s">
        <v>161</v>
      </c>
      <c r="B131" t="s">
        <v>162</v>
      </c>
      <c r="C131" s="3" t="s">
        <v>24</v>
      </c>
      <c r="D131" s="3" t="s">
        <v>5</v>
      </c>
    </row>
    <row r="132" spans="1:4" outlineLevel="1" x14ac:dyDescent="0.25">
      <c r="A132" s="3" t="s">
        <v>28</v>
      </c>
      <c r="B132" t="s">
        <v>163</v>
      </c>
      <c r="C132" s="79">
        <f>G16</f>
        <v>0.03</v>
      </c>
      <c r="D132" s="70" t="e">
        <f>Encarregado!$C$132*(D143+D144+D145+D146+D147)</f>
        <v>#REF!</v>
      </c>
    </row>
    <row r="133" spans="1:4" outlineLevel="1" x14ac:dyDescent="0.25">
      <c r="A133" s="3" t="s">
        <v>31</v>
      </c>
      <c r="B133" t="s">
        <v>45</v>
      </c>
      <c r="C133" s="79">
        <f>G17</f>
        <v>6.7900000000000002E-2</v>
      </c>
      <c r="D133" s="70" t="e">
        <f>(SUM(D143:D147)+D132)*Encarregado!$C$133</f>
        <v>#REF!</v>
      </c>
    </row>
    <row r="134" spans="1:4" x14ac:dyDescent="0.25">
      <c r="A134" s="3" t="s">
        <v>34</v>
      </c>
      <c r="B134" t="s">
        <v>164</v>
      </c>
      <c r="C134" s="79">
        <f>SUM(C135:C137)</f>
        <v>0.14250000000000002</v>
      </c>
      <c r="D134" s="70" t="e">
        <f>Encarregado!$C$134*D150</f>
        <v>#REF!</v>
      </c>
    </row>
    <row r="135" spans="1:4" x14ac:dyDescent="0.25">
      <c r="A135" s="3" t="s">
        <v>165</v>
      </c>
      <c r="B135" t="s">
        <v>46</v>
      </c>
      <c r="C135" s="79">
        <f>G18</f>
        <v>1.6500000000000001E-2</v>
      </c>
      <c r="D135" s="70" t="e">
        <f>Encarregado!$C$135*D150</f>
        <v>#REF!</v>
      </c>
    </row>
    <row r="136" spans="1:4" x14ac:dyDescent="0.25">
      <c r="A136" s="3" t="s">
        <v>166</v>
      </c>
      <c r="B136" t="s">
        <v>48</v>
      </c>
      <c r="C136" s="79">
        <f>G19</f>
        <v>7.5999999999999998E-2</v>
      </c>
      <c r="D136" s="70" t="e">
        <f>Encarregado!$C$136*D150</f>
        <v>#REF!</v>
      </c>
    </row>
    <row r="137" spans="1:4" x14ac:dyDescent="0.25">
      <c r="A137" s="3" t="s">
        <v>167</v>
      </c>
      <c r="B137" t="s">
        <v>50</v>
      </c>
      <c r="C137" s="79">
        <f>G20</f>
        <v>0.05</v>
      </c>
      <c r="D137" s="70" t="e">
        <f>Encarregado!$C$137*D150</f>
        <v>#REF!</v>
      </c>
    </row>
    <row r="138" spans="1:4" x14ac:dyDescent="0.25">
      <c r="A138" s="3" t="s">
        <v>44</v>
      </c>
      <c r="C138" s="83"/>
      <c r="D138" s="70" t="e">
        <f>SUM(D132:D134)</f>
        <v>#REF!</v>
      </c>
    </row>
    <row r="139" spans="1:4" x14ac:dyDescent="0.25">
      <c r="A139" s="3"/>
      <c r="C139" s="83"/>
      <c r="D139" s="70"/>
    </row>
    <row r="141" spans="1:4" x14ac:dyDescent="0.25">
      <c r="A141" s="225" t="s">
        <v>168</v>
      </c>
      <c r="B141" s="225"/>
      <c r="C141" s="225"/>
      <c r="D141" s="225"/>
    </row>
    <row r="142" spans="1:4" x14ac:dyDescent="0.25">
      <c r="A142" s="3" t="s">
        <v>2</v>
      </c>
      <c r="B142" s="3" t="s">
        <v>169</v>
      </c>
      <c r="C142" s="3" t="s">
        <v>95</v>
      </c>
      <c r="D142" s="3" t="s">
        <v>5</v>
      </c>
    </row>
    <row r="143" spans="1:4" x14ac:dyDescent="0.25">
      <c r="A143" s="3" t="s">
        <v>28</v>
      </c>
      <c r="B143" t="s">
        <v>22</v>
      </c>
      <c r="D143" s="70">
        <f>Encarregado!$D$17</f>
        <v>1406.74</v>
      </c>
    </row>
    <row r="144" spans="1:4" x14ac:dyDescent="0.25">
      <c r="A144" s="3" t="s">
        <v>31</v>
      </c>
      <c r="B144" t="s">
        <v>47</v>
      </c>
      <c r="D144" s="70">
        <f>Encarregado!$D$66</f>
        <v>1091.7003999999999</v>
      </c>
    </row>
    <row r="145" spans="1:4" x14ac:dyDescent="0.25">
      <c r="A145" s="3" t="s">
        <v>34</v>
      </c>
      <c r="B145" t="s">
        <v>101</v>
      </c>
      <c r="D145" s="70">
        <f>Encarregado!$D$76</f>
        <v>215.150136388889</v>
      </c>
    </row>
    <row r="146" spans="1:4" x14ac:dyDescent="0.25">
      <c r="A146" s="3" t="s">
        <v>36</v>
      </c>
      <c r="B146" t="s">
        <v>170</v>
      </c>
      <c r="D146" s="70">
        <f>Encarregado!$D$113</f>
        <v>231.42233864645553</v>
      </c>
    </row>
    <row r="147" spans="1:4" x14ac:dyDescent="0.25">
      <c r="A147" s="3" t="s">
        <v>39</v>
      </c>
      <c r="B147" t="s">
        <v>148</v>
      </c>
      <c r="D147" s="70" t="e">
        <f>Encarregado!$D$121</f>
        <v>#REF!</v>
      </c>
    </row>
    <row r="148" spans="1:4" x14ac:dyDescent="0.25">
      <c r="A148" t="s">
        <v>171</v>
      </c>
      <c r="D148" s="70" t="e">
        <f>SUM(D143:D147)</f>
        <v>#REF!</v>
      </c>
    </row>
    <row r="149" spans="1:4" x14ac:dyDescent="0.25">
      <c r="A149" s="3" t="s">
        <v>41</v>
      </c>
      <c r="B149" t="s">
        <v>160</v>
      </c>
      <c r="D149" s="70" t="e">
        <f>Encarregado!$D$138</f>
        <v>#REF!</v>
      </c>
    </row>
    <row r="150" spans="1:4" x14ac:dyDescent="0.25">
      <c r="A150" s="84" t="s">
        <v>172</v>
      </c>
      <c r="B150" s="84"/>
      <c r="C150" s="84"/>
      <c r="D150" s="85" t="e">
        <f>(SUM(D143:D147)+D132+D133)/(100%-C134)</f>
        <v>#REF!</v>
      </c>
    </row>
  </sheetData>
  <mergeCells count="25">
    <mergeCell ref="A141:D141"/>
    <mergeCell ref="A98:D98"/>
    <mergeCell ref="A104:D104"/>
    <mergeCell ref="A109:D109"/>
    <mergeCell ref="A115:D115"/>
    <mergeCell ref="A123:D123"/>
    <mergeCell ref="A130:D130"/>
    <mergeCell ref="A88:D88"/>
    <mergeCell ref="A20:D20"/>
    <mergeCell ref="F22:G22"/>
    <mergeCell ref="A26:D26"/>
    <mergeCell ref="A31:D31"/>
    <mergeCell ref="A43:D43"/>
    <mergeCell ref="A47:D47"/>
    <mergeCell ref="A56:D56"/>
    <mergeCell ref="A61:D61"/>
    <mergeCell ref="A68:D68"/>
    <mergeCell ref="A78:D78"/>
    <mergeCell ref="A87:D87"/>
    <mergeCell ref="A19:D19"/>
    <mergeCell ref="A1:D1"/>
    <mergeCell ref="F1:G1"/>
    <mergeCell ref="F8:G8"/>
    <mergeCell ref="A9:D9"/>
    <mergeCell ref="F14:G14"/>
  </mergeCells>
  <pageMargins left="0.7" right="0.7" top="0.75" bottom="0.75" header="0.3" footer="0.3"/>
  <pageSetup paperSize="9" orientation="portrait" horizontalDpi="0" verticalDpi="0"/>
  <legacyDrawing r:id="rId1"/>
  <tableParts count="23">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H21"/>
  <sheetViews>
    <sheetView tabSelected="1" zoomScaleSheetLayoutView="100" workbookViewId="0">
      <selection activeCell="L12" sqref="L12"/>
    </sheetView>
  </sheetViews>
  <sheetFormatPr defaultColWidth="8.85546875" defaultRowHeight="15" x14ac:dyDescent="0.25"/>
  <cols>
    <col min="2" max="2" width="9.42578125" customWidth="1"/>
    <col min="3" max="3" width="38.85546875" customWidth="1"/>
    <col min="4" max="4" width="14.28515625" customWidth="1"/>
    <col min="5" max="5" width="16.28515625" customWidth="1"/>
    <col min="6" max="6" width="17.85546875" customWidth="1"/>
    <col min="7" max="7" width="20" bestFit="1" customWidth="1"/>
    <col min="8" max="8" width="13.28515625" bestFit="1" customWidth="1"/>
  </cols>
  <sheetData>
    <row r="2" spans="1:8" x14ac:dyDescent="0.25">
      <c r="A2" s="237" t="s">
        <v>315</v>
      </c>
      <c r="B2" s="238"/>
      <c r="C2" s="238"/>
      <c r="D2" s="238"/>
      <c r="E2" s="238"/>
      <c r="F2" s="238"/>
      <c r="G2" s="239"/>
    </row>
    <row r="3" spans="1:8" x14ac:dyDescent="0.25">
      <c r="A3" s="237" t="s">
        <v>316</v>
      </c>
      <c r="B3" s="238"/>
      <c r="C3" s="238"/>
      <c r="D3" s="238"/>
      <c r="E3" s="238"/>
      <c r="F3" s="238"/>
      <c r="G3" s="239"/>
    </row>
    <row r="4" spans="1:8" x14ac:dyDescent="0.25">
      <c r="A4" s="240" t="s">
        <v>235</v>
      </c>
      <c r="B4" s="240" t="s">
        <v>305</v>
      </c>
      <c r="C4" s="240" t="s">
        <v>236</v>
      </c>
      <c r="D4" s="240" t="s">
        <v>237</v>
      </c>
      <c r="E4" s="240" t="s">
        <v>306</v>
      </c>
      <c r="F4" s="240" t="s">
        <v>307</v>
      </c>
      <c r="G4" s="240" t="s">
        <v>308</v>
      </c>
    </row>
    <row r="5" spans="1:8" x14ac:dyDescent="0.25">
      <c r="A5" s="241"/>
      <c r="B5" s="241"/>
      <c r="C5" s="241"/>
      <c r="D5" s="241"/>
      <c r="E5" s="241"/>
      <c r="F5" s="241"/>
      <c r="G5" s="241"/>
    </row>
    <row r="6" spans="1:8" x14ac:dyDescent="0.25">
      <c r="A6" s="241"/>
      <c r="B6" s="241"/>
      <c r="C6" s="241"/>
      <c r="D6" s="241"/>
      <c r="E6" s="241"/>
      <c r="F6" s="241"/>
      <c r="G6" s="241"/>
    </row>
    <row r="7" spans="1:8" x14ac:dyDescent="0.25">
      <c r="A7" s="242"/>
      <c r="B7" s="242"/>
      <c r="C7" s="242"/>
      <c r="D7" s="242"/>
      <c r="E7" s="242"/>
      <c r="F7" s="242"/>
      <c r="G7" s="242"/>
    </row>
    <row r="8" spans="1:8" ht="28.5" x14ac:dyDescent="0.25">
      <c r="A8" s="115">
        <v>2</v>
      </c>
      <c r="B8" s="115">
        <v>24090</v>
      </c>
      <c r="C8" s="115" t="s">
        <v>276</v>
      </c>
      <c r="D8" s="115" t="s">
        <v>309</v>
      </c>
      <c r="E8" s="116">
        <v>65304</v>
      </c>
      <c r="F8" s="117">
        <f>'Valor Unitário (m²)'!$G$4</f>
        <v>3.0211999999999999</v>
      </c>
      <c r="G8" s="117">
        <f>ROUND(F8*E8,4)</f>
        <v>197296.4448</v>
      </c>
    </row>
    <row r="9" spans="1:8" ht="28.5" x14ac:dyDescent="0.25">
      <c r="A9" s="118">
        <v>3</v>
      </c>
      <c r="B9" s="118">
        <v>24090</v>
      </c>
      <c r="C9" s="118" t="s">
        <v>277</v>
      </c>
      <c r="D9" s="118" t="s">
        <v>309</v>
      </c>
      <c r="E9" s="119">
        <v>24312</v>
      </c>
      <c r="F9" s="120">
        <f>'Valor Unitário (m²)'!$G$5</f>
        <v>7.4706000000000001</v>
      </c>
      <c r="G9" s="120">
        <f t="shared" ref="G9:G15" si="0">ROUND(F9*E9,4)</f>
        <v>181625.22719999999</v>
      </c>
    </row>
    <row r="10" spans="1:8" ht="28.5" x14ac:dyDescent="0.25">
      <c r="A10" s="115">
        <v>6</v>
      </c>
      <c r="B10" s="115">
        <v>24090</v>
      </c>
      <c r="C10" s="115" t="s">
        <v>280</v>
      </c>
      <c r="D10" s="115" t="s">
        <v>309</v>
      </c>
      <c r="E10" s="116">
        <v>25464</v>
      </c>
      <c r="F10" s="117">
        <f>'Valor Unitário (m²)'!$G$8</f>
        <v>2.415</v>
      </c>
      <c r="G10" s="117">
        <f t="shared" si="0"/>
        <v>61495.56</v>
      </c>
    </row>
    <row r="11" spans="1:8" ht="28.5" x14ac:dyDescent="0.25">
      <c r="A11" s="118">
        <v>7</v>
      </c>
      <c r="B11" s="118">
        <v>24090</v>
      </c>
      <c r="C11" s="118" t="s">
        <v>281</v>
      </c>
      <c r="D11" s="118" t="s">
        <v>309</v>
      </c>
      <c r="E11" s="119">
        <v>3708</v>
      </c>
      <c r="F11" s="120">
        <f>'Valor Unitário (m²)'!$G$9</f>
        <v>15.125999999999999</v>
      </c>
      <c r="G11" s="120">
        <f t="shared" si="0"/>
        <v>56087.207999999999</v>
      </c>
    </row>
    <row r="12" spans="1:8" ht="28.5" x14ac:dyDescent="0.25">
      <c r="A12" s="115">
        <v>9</v>
      </c>
      <c r="B12" s="115">
        <v>24104</v>
      </c>
      <c r="C12" s="115" t="s">
        <v>284</v>
      </c>
      <c r="D12" s="115" t="s">
        <v>309</v>
      </c>
      <c r="E12" s="116">
        <v>78348</v>
      </c>
      <c r="F12" s="117">
        <f>'Valor Unitário (m²)'!$G$11</f>
        <v>0.50190000000000001</v>
      </c>
      <c r="G12" s="117">
        <f t="shared" si="0"/>
        <v>39322.861199999999</v>
      </c>
    </row>
    <row r="13" spans="1:8" ht="28.5" x14ac:dyDescent="0.25">
      <c r="A13" s="118">
        <v>12</v>
      </c>
      <c r="B13" s="118">
        <v>24104</v>
      </c>
      <c r="C13" s="118" t="s">
        <v>287</v>
      </c>
      <c r="D13" s="118" t="s">
        <v>309</v>
      </c>
      <c r="E13" s="119">
        <v>68868</v>
      </c>
      <c r="F13" s="120">
        <f>'Valor Unitário (m²)'!$G$14</f>
        <v>1.6729000000000001</v>
      </c>
      <c r="G13" s="120">
        <f t="shared" si="0"/>
        <v>115209.2772</v>
      </c>
    </row>
    <row r="14" spans="1:8" ht="28.5" x14ac:dyDescent="0.25">
      <c r="A14" s="115">
        <v>15</v>
      </c>
      <c r="B14" s="115">
        <v>24112</v>
      </c>
      <c r="C14" s="115" t="s">
        <v>291</v>
      </c>
      <c r="D14" s="115" t="s">
        <v>309</v>
      </c>
      <c r="E14" s="116">
        <v>13380</v>
      </c>
      <c r="F14" s="117">
        <f>'Valor Unitário (m²)'!$G$17</f>
        <v>0.84989999999999999</v>
      </c>
      <c r="G14" s="117">
        <f t="shared" si="0"/>
        <v>11371.662</v>
      </c>
    </row>
    <row r="15" spans="1:8" ht="28.5" x14ac:dyDescent="0.25">
      <c r="A15" s="118">
        <v>16</v>
      </c>
      <c r="B15" s="118">
        <v>24112</v>
      </c>
      <c r="C15" s="118" t="s">
        <v>292</v>
      </c>
      <c r="D15" s="118" t="s">
        <v>309</v>
      </c>
      <c r="E15" s="119">
        <v>13380</v>
      </c>
      <c r="F15" s="120">
        <f>'Valor Unitário (m²)'!$G$18</f>
        <v>0.84989999999999999</v>
      </c>
      <c r="G15" s="120">
        <f t="shared" si="0"/>
        <v>11371.662</v>
      </c>
    </row>
    <row r="16" spans="1:8" ht="27.6" customHeight="1" x14ac:dyDescent="0.25">
      <c r="A16" s="229" t="s">
        <v>319</v>
      </c>
      <c r="B16" s="230"/>
      <c r="C16" s="230"/>
      <c r="D16" s="230"/>
      <c r="E16" s="231"/>
      <c r="F16" s="232">
        <f>SUM(G8:G15)</f>
        <v>673779.90240000002</v>
      </c>
      <c r="G16" s="233"/>
      <c r="H16" s="88"/>
    </row>
    <row r="17" spans="1:7" x14ac:dyDescent="0.25">
      <c r="A17" s="229" t="s">
        <v>320</v>
      </c>
      <c r="B17" s="230"/>
      <c r="C17" s="230"/>
      <c r="D17" s="230"/>
      <c r="E17" s="231"/>
      <c r="F17" s="232">
        <f>F16/12</f>
        <v>56148.325199999999</v>
      </c>
      <c r="G17" s="233"/>
    </row>
    <row r="19" spans="1:7" ht="15.75" x14ac:dyDescent="0.25">
      <c r="A19" s="234" t="s">
        <v>321</v>
      </c>
      <c r="B19" s="235"/>
      <c r="C19" s="235"/>
      <c r="D19" s="235"/>
      <c r="E19" s="235"/>
      <c r="F19" s="235"/>
      <c r="G19" s="236"/>
    </row>
    <row r="20" spans="1:7" ht="15.75" x14ac:dyDescent="0.25">
      <c r="A20" s="124" t="s">
        <v>2</v>
      </c>
      <c r="B20" s="124" t="s">
        <v>322</v>
      </c>
      <c r="C20" s="124" t="s">
        <v>323</v>
      </c>
      <c r="D20" s="124" t="s">
        <v>324</v>
      </c>
      <c r="E20" s="124" t="s">
        <v>262</v>
      </c>
      <c r="F20" s="125" t="s">
        <v>327</v>
      </c>
      <c r="G20" s="125" t="s">
        <v>328</v>
      </c>
    </row>
    <row r="21" spans="1:7" ht="78.75" x14ac:dyDescent="0.25">
      <c r="A21" s="122">
        <v>1</v>
      </c>
      <c r="B21" s="122" t="s">
        <v>325</v>
      </c>
      <c r="C21" s="123" t="s">
        <v>329</v>
      </c>
      <c r="D21" s="122" t="s">
        <v>326</v>
      </c>
      <c r="E21" s="122">
        <v>1</v>
      </c>
      <c r="F21" s="126">
        <f>F17</f>
        <v>56148.325199999999</v>
      </c>
      <c r="G21" s="126">
        <f>F21*12</f>
        <v>673779.90240000002</v>
      </c>
    </row>
  </sheetData>
  <mergeCells count="14">
    <mergeCell ref="A17:E17"/>
    <mergeCell ref="F17:G17"/>
    <mergeCell ref="A19:G19"/>
    <mergeCell ref="A2:G2"/>
    <mergeCell ref="A16:E16"/>
    <mergeCell ref="F16:G16"/>
    <mergeCell ref="A4:A7"/>
    <mergeCell ref="B4:B7"/>
    <mergeCell ref="C4:C7"/>
    <mergeCell ref="D4:D7"/>
    <mergeCell ref="E4:E7"/>
    <mergeCell ref="F4:F7"/>
    <mergeCell ref="G4:G7"/>
    <mergeCell ref="A3:G3"/>
  </mergeCells>
  <pageMargins left="0.25" right="0.25"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48"/>
  <sheetViews>
    <sheetView zoomScaleSheetLayoutView="100" workbookViewId="0">
      <selection activeCell="B5" sqref="B5"/>
    </sheetView>
  </sheetViews>
  <sheetFormatPr defaultColWidth="9.140625" defaultRowHeight="15" x14ac:dyDescent="0.25"/>
  <cols>
    <col min="1" max="1" width="11.85546875" customWidth="1"/>
    <col min="2" max="2" width="58.85546875" customWidth="1"/>
    <col min="3" max="3" width="20.28515625" customWidth="1"/>
    <col min="4" max="4" width="38" bestFit="1" customWidth="1"/>
    <col min="6" max="6" width="22.85546875" customWidth="1"/>
    <col min="7" max="7" width="11.42578125" customWidth="1"/>
  </cols>
  <sheetData>
    <row r="1" spans="1:7" x14ac:dyDescent="0.25">
      <c r="A1" s="55"/>
      <c r="B1" s="55"/>
      <c r="C1" s="55"/>
      <c r="D1" s="55"/>
      <c r="E1" s="55"/>
      <c r="F1" s="55"/>
      <c r="G1" s="55"/>
    </row>
    <row r="2" spans="1:7" ht="18.75" x14ac:dyDescent="0.3">
      <c r="A2" s="244" t="s">
        <v>174</v>
      </c>
      <c r="B2" s="244"/>
      <c r="C2" s="244"/>
      <c r="D2" s="244"/>
      <c r="E2" s="55"/>
      <c r="F2" s="55"/>
      <c r="G2" s="55"/>
    </row>
    <row r="3" spans="1:7" x14ac:dyDescent="0.25">
      <c r="A3" s="245" t="s">
        <v>316</v>
      </c>
      <c r="B3" s="245"/>
      <c r="C3" s="245"/>
      <c r="D3" s="245"/>
      <c r="E3" s="55"/>
      <c r="F3" s="55"/>
      <c r="G3" s="55"/>
    </row>
    <row r="4" spans="1:7" x14ac:dyDescent="0.25">
      <c r="A4" s="142" t="s">
        <v>175</v>
      </c>
      <c r="B4" s="143" t="s">
        <v>413</v>
      </c>
      <c r="C4" s="144"/>
      <c r="D4" s="144"/>
      <c r="E4" s="55"/>
      <c r="F4" s="55"/>
      <c r="G4" s="55"/>
    </row>
    <row r="5" spans="1:7" x14ac:dyDescent="0.25">
      <c r="A5" s="56"/>
      <c r="B5" s="57"/>
      <c r="C5" s="57"/>
      <c r="D5" s="57"/>
      <c r="E5" s="55"/>
      <c r="F5" s="55"/>
      <c r="G5" s="55"/>
    </row>
    <row r="6" spans="1:7" x14ac:dyDescent="0.25">
      <c r="A6" s="246" t="s">
        <v>176</v>
      </c>
      <c r="B6" s="246"/>
      <c r="C6" s="246"/>
      <c r="D6" s="246"/>
      <c r="E6" s="55"/>
      <c r="F6" s="55"/>
      <c r="G6" s="55"/>
    </row>
    <row r="7" spans="1:7" x14ac:dyDescent="0.25">
      <c r="A7" s="145" t="s">
        <v>28</v>
      </c>
      <c r="B7" s="146" t="s">
        <v>177</v>
      </c>
      <c r="C7" s="247" t="s">
        <v>310</v>
      </c>
      <c r="D7" s="243"/>
      <c r="E7" s="55"/>
      <c r="F7" s="55"/>
      <c r="G7" s="55"/>
    </row>
    <row r="8" spans="1:7" x14ac:dyDescent="0.25">
      <c r="A8" s="147" t="s">
        <v>31</v>
      </c>
      <c r="B8" s="148" t="s">
        <v>178</v>
      </c>
      <c r="C8" s="243" t="s">
        <v>179</v>
      </c>
      <c r="D8" s="243"/>
      <c r="E8" s="55"/>
      <c r="F8" s="55"/>
      <c r="G8" s="55"/>
    </row>
    <row r="9" spans="1:7" x14ac:dyDescent="0.25">
      <c r="A9" s="145" t="s">
        <v>34</v>
      </c>
      <c r="B9" s="146" t="s">
        <v>180</v>
      </c>
      <c r="C9" s="243" t="s">
        <v>204</v>
      </c>
      <c r="D9" s="243"/>
      <c r="E9" s="55"/>
      <c r="F9" s="55"/>
      <c r="G9" s="55"/>
    </row>
    <row r="10" spans="1:7" x14ac:dyDescent="0.25">
      <c r="A10" s="147" t="s">
        <v>39</v>
      </c>
      <c r="B10" s="148" t="s">
        <v>181</v>
      </c>
      <c r="C10" s="243" t="s">
        <v>182</v>
      </c>
      <c r="D10" s="243"/>
      <c r="E10" s="55"/>
      <c r="F10" s="55"/>
      <c r="G10" s="55"/>
    </row>
    <row r="11" spans="1:7" x14ac:dyDescent="0.25">
      <c r="A11" s="246" t="s">
        <v>183</v>
      </c>
      <c r="B11" s="246"/>
      <c r="C11" s="246"/>
      <c r="D11" s="246"/>
      <c r="E11" s="55"/>
      <c r="F11" s="55"/>
      <c r="G11" s="55"/>
    </row>
    <row r="12" spans="1:7" x14ac:dyDescent="0.25">
      <c r="A12" s="249" t="s">
        <v>184</v>
      </c>
      <c r="B12" s="249"/>
      <c r="C12" s="149" t="s">
        <v>185</v>
      </c>
      <c r="D12" s="149" t="s">
        <v>186</v>
      </c>
      <c r="E12" s="55"/>
      <c r="F12" s="55"/>
      <c r="G12" s="55"/>
    </row>
    <row r="13" spans="1:7" x14ac:dyDescent="0.25">
      <c r="A13" s="250" t="s">
        <v>173</v>
      </c>
      <c r="B13" s="250"/>
      <c r="C13" s="133" t="s">
        <v>187</v>
      </c>
      <c r="D13" s="133">
        <f>'Áreas e Produtividades'!C23</f>
        <v>1</v>
      </c>
      <c r="E13" s="55"/>
      <c r="F13" s="55"/>
      <c r="G13" s="55"/>
    </row>
    <row r="14" spans="1:7" x14ac:dyDescent="0.25">
      <c r="A14" s="251"/>
      <c r="B14" s="251"/>
      <c r="C14" s="150"/>
      <c r="D14" s="151"/>
      <c r="E14" s="55"/>
      <c r="F14" s="55"/>
      <c r="G14" s="55"/>
    </row>
    <row r="15" spans="1:7" x14ac:dyDescent="0.25">
      <c r="A15" s="252" t="s">
        <v>0</v>
      </c>
      <c r="B15" s="252"/>
      <c r="C15" s="252"/>
      <c r="D15" s="252"/>
      <c r="E15" s="55"/>
      <c r="F15" s="253"/>
      <c r="G15" s="253"/>
    </row>
    <row r="16" spans="1:7" x14ac:dyDescent="0.25">
      <c r="A16" s="127" t="s">
        <v>2</v>
      </c>
      <c r="B16" s="128" t="s">
        <v>3</v>
      </c>
      <c r="C16" s="129" t="s">
        <v>4</v>
      </c>
      <c r="D16" s="130" t="s">
        <v>5</v>
      </c>
      <c r="E16" s="55"/>
      <c r="F16" s="55"/>
      <c r="G16" s="55"/>
    </row>
    <row r="17" spans="1:7" x14ac:dyDescent="0.25">
      <c r="A17" s="131">
        <v>1</v>
      </c>
      <c r="B17" s="132" t="s">
        <v>6</v>
      </c>
      <c r="C17" s="133" t="s">
        <v>95</v>
      </c>
      <c r="D17" s="134" t="str">
        <f>A13</f>
        <v>Encarregado</v>
      </c>
      <c r="E17" s="55"/>
      <c r="F17" s="55"/>
      <c r="G17" s="55"/>
    </row>
    <row r="18" spans="1:7" x14ac:dyDescent="0.25">
      <c r="A18" s="131">
        <v>2</v>
      </c>
      <c r="B18" s="132" t="s">
        <v>9</v>
      </c>
      <c r="C18" s="133" t="s">
        <v>188</v>
      </c>
      <c r="D18" s="134" t="s">
        <v>189</v>
      </c>
      <c r="E18" s="55"/>
      <c r="F18" s="55"/>
      <c r="G18" s="55"/>
    </row>
    <row r="19" spans="1:7" x14ac:dyDescent="0.25">
      <c r="A19" s="131">
        <v>3</v>
      </c>
      <c r="B19" s="132" t="s">
        <v>12</v>
      </c>
      <c r="C19" s="218" t="str">
        <f>C9</f>
        <v>CCT PB000517/2021</v>
      </c>
      <c r="D19" s="221">
        <v>1461.33</v>
      </c>
      <c r="E19" s="55"/>
      <c r="F19" s="55"/>
      <c r="G19" s="55"/>
    </row>
    <row r="20" spans="1:7" x14ac:dyDescent="0.25">
      <c r="A20" s="131">
        <v>4</v>
      </c>
      <c r="B20" s="132" t="s">
        <v>15</v>
      </c>
      <c r="C20" s="218" t="str">
        <f>C9</f>
        <v>CCT PB000517/2021</v>
      </c>
      <c r="D20" s="134" t="s">
        <v>190</v>
      </c>
      <c r="E20" s="55"/>
      <c r="F20" s="55"/>
      <c r="G20" s="55"/>
    </row>
    <row r="21" spans="1:7" x14ac:dyDescent="0.25">
      <c r="A21" s="136">
        <v>5</v>
      </c>
      <c r="B21" s="137" t="s">
        <v>19</v>
      </c>
      <c r="C21" s="220" t="str">
        <f>C9</f>
        <v>CCT PB000517/2021</v>
      </c>
      <c r="D21" s="138" t="s">
        <v>191</v>
      </c>
      <c r="E21" s="55"/>
      <c r="F21" s="55"/>
      <c r="G21" s="55"/>
    </row>
    <row r="22" spans="1:7" x14ac:dyDescent="0.25">
      <c r="A22" s="55"/>
      <c r="B22" s="55"/>
      <c r="C22" s="55"/>
      <c r="D22" s="55"/>
      <c r="E22" s="55"/>
      <c r="F22" s="253"/>
      <c r="G22" s="253"/>
    </row>
    <row r="23" spans="1:7" x14ac:dyDescent="0.25">
      <c r="A23" s="246" t="s">
        <v>22</v>
      </c>
      <c r="B23" s="246"/>
      <c r="C23" s="246"/>
      <c r="D23" s="246"/>
      <c r="E23" s="55"/>
      <c r="F23" s="55"/>
      <c r="G23" s="55"/>
    </row>
    <row r="24" spans="1:7" x14ac:dyDescent="0.25">
      <c r="A24" s="127" t="s">
        <v>25</v>
      </c>
      <c r="B24" s="128" t="s">
        <v>26</v>
      </c>
      <c r="C24" s="129" t="s">
        <v>4</v>
      </c>
      <c r="D24" s="130" t="s">
        <v>5</v>
      </c>
      <c r="E24" s="55"/>
      <c r="F24" s="55"/>
      <c r="G24" s="59"/>
    </row>
    <row r="25" spans="1:7" x14ac:dyDescent="0.25">
      <c r="A25" s="131" t="s">
        <v>28</v>
      </c>
      <c r="B25" s="132" t="s">
        <v>29</v>
      </c>
      <c r="C25" s="139" t="s">
        <v>192</v>
      </c>
      <c r="D25" s="135">
        <f>D19</f>
        <v>1461.33</v>
      </c>
      <c r="E25" s="55"/>
      <c r="F25" s="55"/>
      <c r="G25" s="59"/>
    </row>
    <row r="26" spans="1:7" x14ac:dyDescent="0.25">
      <c r="A26" s="131" t="s">
        <v>31</v>
      </c>
      <c r="B26" s="132" t="s">
        <v>32</v>
      </c>
      <c r="C26" s="133"/>
      <c r="D26" s="135">
        <v>0</v>
      </c>
      <c r="E26" s="55"/>
      <c r="F26" s="55"/>
      <c r="G26" s="59"/>
    </row>
    <row r="27" spans="1:7" x14ac:dyDescent="0.25">
      <c r="A27" s="131" t="s">
        <v>34</v>
      </c>
      <c r="B27" s="132" t="s">
        <v>35</v>
      </c>
      <c r="C27" s="133"/>
      <c r="D27" s="135">
        <v>0</v>
      </c>
      <c r="E27" s="55"/>
      <c r="F27" s="55"/>
      <c r="G27" s="55"/>
    </row>
    <row r="28" spans="1:7" x14ac:dyDescent="0.25">
      <c r="A28" s="131" t="s">
        <v>36</v>
      </c>
      <c r="B28" s="132" t="s">
        <v>37</v>
      </c>
      <c r="C28" s="133"/>
      <c r="D28" s="135">
        <v>0</v>
      </c>
      <c r="E28" s="55"/>
      <c r="F28" s="55"/>
      <c r="G28" s="55"/>
    </row>
    <row r="29" spans="1:7" x14ac:dyDescent="0.25">
      <c r="A29" s="131" t="s">
        <v>39</v>
      </c>
      <c r="B29" s="132" t="s">
        <v>40</v>
      </c>
      <c r="C29" s="133"/>
      <c r="D29" s="135">
        <v>0</v>
      </c>
      <c r="E29" s="55"/>
      <c r="F29" s="55"/>
      <c r="G29" s="55"/>
    </row>
    <row r="30" spans="1:7" x14ac:dyDescent="0.25">
      <c r="A30" s="131" t="s">
        <v>41</v>
      </c>
      <c r="B30" s="132" t="s">
        <v>193</v>
      </c>
      <c r="C30" s="133" t="str">
        <f>C20</f>
        <v>CCT PB000517/2021</v>
      </c>
      <c r="D30" s="135">
        <v>220</v>
      </c>
      <c r="E30" s="55"/>
      <c r="F30" s="55"/>
      <c r="G30" s="55"/>
    </row>
    <row r="31" spans="1:7" x14ac:dyDescent="0.25">
      <c r="A31" s="136" t="s">
        <v>44</v>
      </c>
      <c r="B31" s="137"/>
      <c r="C31" s="140"/>
      <c r="D31" s="141">
        <f>TRUNC((SUM(D25:D30)),2)</f>
        <v>1681.33</v>
      </c>
      <c r="E31" s="55"/>
      <c r="F31" s="253"/>
      <c r="G31" s="253"/>
    </row>
    <row r="32" spans="1:7" x14ac:dyDescent="0.25">
      <c r="A32" s="55"/>
      <c r="B32" s="55"/>
      <c r="C32" s="55"/>
      <c r="D32" s="55"/>
      <c r="E32" s="55"/>
      <c r="F32" s="55"/>
      <c r="G32" s="55"/>
    </row>
    <row r="33" spans="1:7" x14ac:dyDescent="0.25">
      <c r="A33" s="254" t="s">
        <v>47</v>
      </c>
      <c r="B33" s="255"/>
      <c r="C33" s="255"/>
      <c r="D33" s="256"/>
      <c r="E33" s="55"/>
      <c r="F33" s="55"/>
      <c r="G33" s="59"/>
    </row>
    <row r="34" spans="1:7" x14ac:dyDescent="0.25">
      <c r="A34" s="132"/>
      <c r="B34" s="132"/>
      <c r="C34" s="132"/>
      <c r="D34" s="132"/>
      <c r="E34" s="55"/>
      <c r="F34" s="55"/>
      <c r="G34" s="55"/>
    </row>
    <row r="35" spans="1:7" x14ac:dyDescent="0.25">
      <c r="A35" s="248" t="s">
        <v>194</v>
      </c>
      <c r="B35" s="248"/>
      <c r="C35" s="248"/>
      <c r="D35" s="248"/>
      <c r="E35" s="55"/>
      <c r="F35" s="55"/>
      <c r="G35" s="55"/>
    </row>
    <row r="36" spans="1:7" x14ac:dyDescent="0.25">
      <c r="A36" s="152" t="s">
        <v>51</v>
      </c>
      <c r="B36" s="132" t="s">
        <v>195</v>
      </c>
      <c r="C36" s="152" t="s">
        <v>24</v>
      </c>
      <c r="D36" s="152" t="s">
        <v>5</v>
      </c>
      <c r="E36" s="55"/>
      <c r="F36" s="55"/>
      <c r="G36" s="55"/>
    </row>
    <row r="37" spans="1:7" x14ac:dyDescent="0.25">
      <c r="A37" s="152" t="s">
        <v>28</v>
      </c>
      <c r="B37" s="132" t="s">
        <v>53</v>
      </c>
      <c r="C37" s="153">
        <f>(1/12)</f>
        <v>8.3333333333333329E-2</v>
      </c>
      <c r="D37" s="154">
        <f>TRUNC($D$31*C37,2)</f>
        <v>140.11000000000001</v>
      </c>
      <c r="E37" s="55"/>
      <c r="F37" s="55"/>
      <c r="G37" s="55"/>
    </row>
    <row r="38" spans="1:7" x14ac:dyDescent="0.25">
      <c r="A38" s="152" t="s">
        <v>31</v>
      </c>
      <c r="B38" s="132" t="s">
        <v>196</v>
      </c>
      <c r="C38" s="153">
        <f>(((1+1/3)/12))</f>
        <v>0.1111111111111111</v>
      </c>
      <c r="D38" s="154">
        <f>TRUNC($D$31*C38,2)</f>
        <v>186.81</v>
      </c>
      <c r="E38" s="55"/>
      <c r="F38" s="55"/>
      <c r="G38" s="55"/>
    </row>
    <row r="39" spans="1:7" x14ac:dyDescent="0.25">
      <c r="A39" s="152" t="s">
        <v>44</v>
      </c>
      <c r="B39" s="132"/>
      <c r="C39" s="132"/>
      <c r="D39" s="154">
        <f>TRUNC((SUM(D37:D38)),2)</f>
        <v>326.92</v>
      </c>
      <c r="E39" s="55"/>
      <c r="F39" s="55"/>
      <c r="G39" s="55"/>
    </row>
    <row r="40" spans="1:7" x14ac:dyDescent="0.25">
      <c r="A40" s="55"/>
      <c r="B40" s="55"/>
      <c r="C40" s="55"/>
      <c r="D40" s="60"/>
      <c r="E40" s="55"/>
      <c r="F40" s="55"/>
      <c r="G40" s="55"/>
    </row>
    <row r="41" spans="1:7" x14ac:dyDescent="0.25">
      <c r="A41" s="257" t="s">
        <v>197</v>
      </c>
      <c r="B41" s="257"/>
      <c r="C41" s="155" t="s">
        <v>198</v>
      </c>
      <c r="D41" s="156">
        <f>D31</f>
        <v>1681.33</v>
      </c>
      <c r="E41" s="55"/>
      <c r="F41" s="55"/>
      <c r="G41" s="55"/>
    </row>
    <row r="42" spans="1:7" x14ac:dyDescent="0.25">
      <c r="A42" s="257"/>
      <c r="B42" s="257"/>
      <c r="C42" s="157" t="s">
        <v>199</v>
      </c>
      <c r="D42" s="156">
        <f>D39</f>
        <v>326.92</v>
      </c>
      <c r="E42" s="55"/>
      <c r="F42" s="55"/>
      <c r="G42" s="55"/>
    </row>
    <row r="43" spans="1:7" x14ac:dyDescent="0.25">
      <c r="A43" s="257"/>
      <c r="B43" s="257"/>
      <c r="C43" s="155" t="s">
        <v>200</v>
      </c>
      <c r="D43" s="158">
        <f>TRUNC((SUM(D41:D42)),2)</f>
        <v>2008.25</v>
      </c>
      <c r="E43" s="55"/>
      <c r="F43" s="55"/>
      <c r="G43" s="55"/>
    </row>
    <row r="44" spans="1:7" x14ac:dyDescent="0.25">
      <c r="A44" s="162"/>
      <c r="B44" s="163"/>
      <c r="C44" s="164"/>
      <c r="D44" s="165"/>
      <c r="E44" s="55"/>
      <c r="F44" s="55"/>
      <c r="G44" s="55"/>
    </row>
    <row r="45" spans="1:7" x14ac:dyDescent="0.25">
      <c r="A45" s="254" t="s">
        <v>66</v>
      </c>
      <c r="B45" s="255"/>
      <c r="C45" s="255"/>
      <c r="D45" s="256"/>
      <c r="E45" s="55"/>
      <c r="F45" s="55"/>
      <c r="G45" s="55"/>
    </row>
    <row r="46" spans="1:7" x14ac:dyDescent="0.25">
      <c r="A46" s="152" t="s">
        <v>67</v>
      </c>
      <c r="B46" s="132" t="s">
        <v>68</v>
      </c>
      <c r="C46" s="152" t="s">
        <v>24</v>
      </c>
      <c r="D46" s="152" t="s">
        <v>69</v>
      </c>
      <c r="E46" s="55"/>
      <c r="F46" s="55"/>
      <c r="G46" s="55"/>
    </row>
    <row r="47" spans="1:7" x14ac:dyDescent="0.25">
      <c r="A47" s="152" t="s">
        <v>28</v>
      </c>
      <c r="B47" s="132" t="s">
        <v>70</v>
      </c>
      <c r="C47" s="153">
        <v>0.2</v>
      </c>
      <c r="D47" s="154">
        <f>TRUNC(($D$43*C47),2)</f>
        <v>401.65</v>
      </c>
      <c r="E47" s="55"/>
      <c r="F47" s="55"/>
      <c r="G47" s="55"/>
    </row>
    <row r="48" spans="1:7" x14ac:dyDescent="0.25">
      <c r="A48" s="152" t="s">
        <v>31</v>
      </c>
      <c r="B48" s="132" t="s">
        <v>71</v>
      </c>
      <c r="C48" s="153">
        <v>2.5000000000000001E-2</v>
      </c>
      <c r="D48" s="154">
        <f>TRUNC(($D$43*C48),2)</f>
        <v>50.2</v>
      </c>
      <c r="E48" s="55"/>
      <c r="F48" s="55"/>
      <c r="G48" s="55"/>
    </row>
    <row r="49" spans="1:7" x14ac:dyDescent="0.25">
      <c r="A49" s="152" t="s">
        <v>34</v>
      </c>
      <c r="B49" s="132" t="s">
        <v>201</v>
      </c>
      <c r="C49" s="274">
        <v>0</v>
      </c>
      <c r="D49" s="161">
        <f t="shared" ref="D49:D54" si="0">TRUNC(($D$43*C49),2)</f>
        <v>0</v>
      </c>
      <c r="E49" s="55"/>
      <c r="F49" s="55"/>
      <c r="G49" s="55"/>
    </row>
    <row r="50" spans="1:7" x14ac:dyDescent="0.25">
      <c r="A50" s="152" t="s">
        <v>36</v>
      </c>
      <c r="B50" s="132" t="s">
        <v>73</v>
      </c>
      <c r="C50" s="153">
        <v>1.4999999999999999E-2</v>
      </c>
      <c r="D50" s="154">
        <f t="shared" si="0"/>
        <v>30.12</v>
      </c>
      <c r="E50" s="55"/>
      <c r="F50" s="55"/>
      <c r="G50" s="55"/>
    </row>
    <row r="51" spans="1:7" x14ac:dyDescent="0.25">
      <c r="A51" s="152" t="s">
        <v>39</v>
      </c>
      <c r="B51" s="132" t="s">
        <v>74</v>
      </c>
      <c r="C51" s="153">
        <v>0.01</v>
      </c>
      <c r="D51" s="154">
        <f t="shared" si="0"/>
        <v>20.079999999999998</v>
      </c>
      <c r="E51" s="55"/>
      <c r="F51" s="55"/>
      <c r="G51" s="55"/>
    </row>
    <row r="52" spans="1:7" x14ac:dyDescent="0.25">
      <c r="A52" s="152" t="s">
        <v>41</v>
      </c>
      <c r="B52" s="132" t="s">
        <v>75</v>
      </c>
      <c r="C52" s="153">
        <v>6.0000000000000001E-3</v>
      </c>
      <c r="D52" s="154">
        <f t="shared" si="0"/>
        <v>12.04</v>
      </c>
      <c r="E52" s="55"/>
      <c r="F52" s="55"/>
      <c r="G52" s="55"/>
    </row>
    <row r="53" spans="1:7" x14ac:dyDescent="0.25">
      <c r="A53" s="152" t="s">
        <v>76</v>
      </c>
      <c r="B53" s="132" t="s">
        <v>77</v>
      </c>
      <c r="C53" s="153">
        <v>2E-3</v>
      </c>
      <c r="D53" s="154">
        <f t="shared" si="0"/>
        <v>4.01</v>
      </c>
      <c r="E53" s="55"/>
      <c r="F53" s="55"/>
      <c r="G53" s="55"/>
    </row>
    <row r="54" spans="1:7" x14ac:dyDescent="0.25">
      <c r="A54" s="152" t="s">
        <v>78</v>
      </c>
      <c r="B54" s="132" t="s">
        <v>79</v>
      </c>
      <c r="C54" s="153">
        <v>0.08</v>
      </c>
      <c r="D54" s="154">
        <f t="shared" si="0"/>
        <v>160.66</v>
      </c>
      <c r="E54" s="55"/>
      <c r="F54" s="55"/>
      <c r="G54" s="55"/>
    </row>
    <row r="55" spans="1:7" x14ac:dyDescent="0.25">
      <c r="A55" s="152" t="s">
        <v>44</v>
      </c>
      <c r="B55" s="132"/>
      <c r="C55" s="159">
        <f>SUM(C47:C54)</f>
        <v>0.33800000000000002</v>
      </c>
      <c r="D55" s="154">
        <f>TRUNC(SUM(D47:D54),2)</f>
        <v>678.76</v>
      </c>
      <c r="E55" s="55"/>
      <c r="F55" s="55"/>
      <c r="G55" s="55"/>
    </row>
    <row r="56" spans="1:7" x14ac:dyDescent="0.25">
      <c r="A56" s="58"/>
      <c r="B56" s="55"/>
      <c r="C56" s="61"/>
      <c r="D56" s="60"/>
      <c r="E56" s="55"/>
      <c r="F56" s="55"/>
      <c r="G56" s="55"/>
    </row>
    <row r="57" spans="1:7" x14ac:dyDescent="0.25">
      <c r="A57" s="254" t="s">
        <v>84</v>
      </c>
      <c r="B57" s="255"/>
      <c r="C57" s="255"/>
      <c r="D57" s="256"/>
      <c r="E57" s="55"/>
      <c r="F57" s="55"/>
      <c r="G57" s="55"/>
    </row>
    <row r="58" spans="1:7" x14ac:dyDescent="0.25">
      <c r="A58" s="152" t="s">
        <v>85</v>
      </c>
      <c r="B58" s="132" t="s">
        <v>86</v>
      </c>
      <c r="C58" s="152" t="s">
        <v>4</v>
      </c>
      <c r="D58" s="152" t="s">
        <v>5</v>
      </c>
      <c r="E58" s="55"/>
      <c r="F58" s="55"/>
      <c r="G58" s="55"/>
    </row>
    <row r="59" spans="1:7" x14ac:dyDescent="0.25">
      <c r="A59" s="152" t="s">
        <v>28</v>
      </c>
      <c r="B59" s="132" t="s">
        <v>87</v>
      </c>
      <c r="C59" s="133"/>
      <c r="D59" s="161">
        <v>0</v>
      </c>
      <c r="E59" s="55"/>
      <c r="F59" s="55"/>
      <c r="G59" s="55"/>
    </row>
    <row r="60" spans="1:7" x14ac:dyDescent="0.25">
      <c r="A60" s="152" t="s">
        <v>31</v>
      </c>
      <c r="B60" s="132" t="s">
        <v>88</v>
      </c>
      <c r="C60" s="133" t="str">
        <f>C9</f>
        <v>CCT PB000517/2021</v>
      </c>
      <c r="D60" s="161">
        <f>TRUNC((((460))-(((460))*0.2)),2)</f>
        <v>368</v>
      </c>
      <c r="E60" s="55"/>
      <c r="F60" s="55"/>
      <c r="G60" s="55"/>
    </row>
    <row r="61" spans="1:7" x14ac:dyDescent="0.25">
      <c r="A61" s="152" t="s">
        <v>34</v>
      </c>
      <c r="B61" s="132" t="s">
        <v>202</v>
      </c>
      <c r="C61" s="133"/>
      <c r="D61" s="161">
        <v>0</v>
      </c>
      <c r="E61" s="55"/>
      <c r="F61" s="55"/>
      <c r="G61" s="55"/>
    </row>
    <row r="62" spans="1:7" x14ac:dyDescent="0.25">
      <c r="A62" s="166" t="s">
        <v>36</v>
      </c>
      <c r="B62" s="167" t="s">
        <v>203</v>
      </c>
      <c r="C62" s="168"/>
      <c r="D62" s="168">
        <v>0</v>
      </c>
      <c r="E62" s="55"/>
      <c r="F62" s="62"/>
      <c r="G62" s="55"/>
    </row>
    <row r="63" spans="1:7" x14ac:dyDescent="0.25">
      <c r="A63" s="166" t="s">
        <v>39</v>
      </c>
      <c r="B63" s="132" t="s">
        <v>92</v>
      </c>
      <c r="C63" s="133" t="s">
        <v>204</v>
      </c>
      <c r="D63" s="161">
        <v>20</v>
      </c>
      <c r="E63" s="55"/>
      <c r="F63" s="55"/>
      <c r="G63" s="55"/>
    </row>
    <row r="64" spans="1:7" x14ac:dyDescent="0.25">
      <c r="A64" s="166" t="s">
        <v>41</v>
      </c>
      <c r="B64" s="169" t="s">
        <v>205</v>
      </c>
      <c r="C64" s="133" t="s">
        <v>204</v>
      </c>
      <c r="D64" s="161">
        <v>5</v>
      </c>
      <c r="E64" s="55"/>
      <c r="F64" s="55"/>
      <c r="G64" s="55"/>
    </row>
    <row r="65" spans="1:7" x14ac:dyDescent="0.25">
      <c r="A65" s="166" t="s">
        <v>76</v>
      </c>
      <c r="B65" s="169" t="s">
        <v>206</v>
      </c>
      <c r="C65" s="168" t="s">
        <v>204</v>
      </c>
      <c r="D65" s="161">
        <v>40</v>
      </c>
      <c r="E65" s="55"/>
      <c r="F65" s="55"/>
      <c r="G65" s="55"/>
    </row>
    <row r="66" spans="1:7" x14ac:dyDescent="0.25">
      <c r="A66" s="152" t="s">
        <v>44</v>
      </c>
      <c r="B66" s="132"/>
      <c r="C66" s="132"/>
      <c r="D66" s="154">
        <f>TRUNC((SUM(D59:D65)),2)</f>
        <v>433</v>
      </c>
      <c r="E66" s="55"/>
      <c r="F66" s="55"/>
      <c r="G66" s="55"/>
    </row>
    <row r="67" spans="1:7" x14ac:dyDescent="0.25">
      <c r="A67" s="58"/>
      <c r="B67" s="55"/>
      <c r="C67" s="55"/>
      <c r="D67" s="60"/>
      <c r="E67" s="55"/>
      <c r="F67" s="55"/>
      <c r="G67" s="55"/>
    </row>
    <row r="68" spans="1:7" x14ac:dyDescent="0.25">
      <c r="A68" s="254" t="s">
        <v>98</v>
      </c>
      <c r="B68" s="255"/>
      <c r="C68" s="255"/>
      <c r="D68" s="256"/>
      <c r="E68" s="55"/>
      <c r="F68" s="55"/>
      <c r="G68" s="55"/>
    </row>
    <row r="69" spans="1:7" x14ac:dyDescent="0.25">
      <c r="A69" s="152" t="s">
        <v>99</v>
      </c>
      <c r="B69" s="132" t="s">
        <v>100</v>
      </c>
      <c r="C69" s="152" t="s">
        <v>4</v>
      </c>
      <c r="D69" s="152" t="s">
        <v>5</v>
      </c>
      <c r="E69" s="55"/>
      <c r="F69" s="55"/>
      <c r="G69" s="55"/>
    </row>
    <row r="70" spans="1:7" x14ac:dyDescent="0.25">
      <c r="A70" s="152" t="s">
        <v>51</v>
      </c>
      <c r="B70" s="132" t="s">
        <v>195</v>
      </c>
      <c r="C70" s="152"/>
      <c r="D70" s="154">
        <f>D39</f>
        <v>326.92</v>
      </c>
      <c r="E70" s="55"/>
      <c r="F70" s="55"/>
      <c r="G70" s="55"/>
    </row>
    <row r="71" spans="1:7" x14ac:dyDescent="0.25">
      <c r="A71" s="152" t="s">
        <v>67</v>
      </c>
      <c r="B71" s="132" t="s">
        <v>68</v>
      </c>
      <c r="C71" s="152"/>
      <c r="D71" s="154">
        <f>D55</f>
        <v>678.76</v>
      </c>
      <c r="E71" s="55"/>
      <c r="F71" s="55"/>
      <c r="G71" s="55"/>
    </row>
    <row r="72" spans="1:7" x14ac:dyDescent="0.25">
      <c r="A72" s="152" t="s">
        <v>85</v>
      </c>
      <c r="B72" s="132" t="s">
        <v>86</v>
      </c>
      <c r="C72" s="152"/>
      <c r="D72" s="154">
        <f>D66</f>
        <v>433</v>
      </c>
      <c r="E72" s="55"/>
      <c r="F72" s="55"/>
      <c r="G72" s="55"/>
    </row>
    <row r="73" spans="1:7" x14ac:dyDescent="0.25">
      <c r="A73" s="152" t="s">
        <v>44</v>
      </c>
      <c r="B73" s="132"/>
      <c r="C73" s="152"/>
      <c r="D73" s="154">
        <f>TRUNC((SUM(D70:D72)),2)</f>
        <v>1438.68</v>
      </c>
      <c r="E73" s="55"/>
      <c r="F73" s="55"/>
      <c r="G73" s="55"/>
    </row>
    <row r="74" spans="1:7" x14ac:dyDescent="0.25">
      <c r="A74" s="55"/>
      <c r="B74" s="55"/>
      <c r="C74" s="55"/>
      <c r="D74" s="55"/>
      <c r="E74" s="55"/>
      <c r="F74" s="55"/>
      <c r="G74" s="55"/>
    </row>
    <row r="75" spans="1:7" x14ac:dyDescent="0.25">
      <c r="A75" s="246" t="s">
        <v>101</v>
      </c>
      <c r="B75" s="246"/>
      <c r="C75" s="246"/>
      <c r="D75" s="246"/>
      <c r="E75" s="55"/>
      <c r="F75" s="55"/>
      <c r="G75" s="55"/>
    </row>
    <row r="76" spans="1:7" x14ac:dyDescent="0.25">
      <c r="A76" s="152" t="s">
        <v>102</v>
      </c>
      <c r="B76" s="132" t="s">
        <v>103</v>
      </c>
      <c r="C76" s="152" t="s">
        <v>24</v>
      </c>
      <c r="D76" s="152" t="s">
        <v>5</v>
      </c>
      <c r="E76" s="55"/>
      <c r="F76" s="55"/>
      <c r="G76" s="55"/>
    </row>
    <row r="77" spans="1:7" x14ac:dyDescent="0.25">
      <c r="A77" s="152" t="s">
        <v>28</v>
      </c>
      <c r="B77" s="132" t="s">
        <v>104</v>
      </c>
      <c r="C77" s="160">
        <f>((1/12)*2%)</f>
        <v>1.6666666666666666E-3</v>
      </c>
      <c r="D77" s="161">
        <f t="shared" ref="D77:D80" si="1">TRUNC(($D$31*C77),2)</f>
        <v>2.8</v>
      </c>
      <c r="E77" s="55"/>
      <c r="F77" s="55"/>
      <c r="G77" s="55"/>
    </row>
    <row r="78" spans="1:7" x14ac:dyDescent="0.25">
      <c r="A78" s="152" t="s">
        <v>31</v>
      </c>
      <c r="B78" s="132" t="s">
        <v>105</v>
      </c>
      <c r="C78" s="170">
        <v>0.08</v>
      </c>
      <c r="D78" s="154">
        <f>TRUNC(($D$77*C78),2)</f>
        <v>0.22</v>
      </c>
      <c r="E78" s="55"/>
      <c r="F78" s="55"/>
      <c r="G78" s="55"/>
    </row>
    <row r="79" spans="1:7" ht="30" x14ac:dyDescent="0.25">
      <c r="A79" s="152" t="s">
        <v>34</v>
      </c>
      <c r="B79" s="171" t="s">
        <v>106</v>
      </c>
      <c r="C79" s="172">
        <f>(0.08*0.4*0.02)</f>
        <v>6.4000000000000005E-4</v>
      </c>
      <c r="D79" s="168">
        <f t="shared" si="1"/>
        <v>1.07</v>
      </c>
      <c r="E79" s="55"/>
      <c r="F79" s="55"/>
      <c r="G79" s="55"/>
    </row>
    <row r="80" spans="1:7" x14ac:dyDescent="0.25">
      <c r="A80" s="152" t="s">
        <v>36</v>
      </c>
      <c r="B80" s="132" t="s">
        <v>107</v>
      </c>
      <c r="C80" s="173">
        <f>(((7/30)/12)*0.98)</f>
        <v>1.9055555555555555E-2</v>
      </c>
      <c r="D80" s="174">
        <f t="shared" si="1"/>
        <v>32.03</v>
      </c>
      <c r="E80" s="55"/>
      <c r="F80" s="55"/>
      <c r="G80" s="55"/>
    </row>
    <row r="81" spans="1:7" ht="30" x14ac:dyDescent="0.25">
      <c r="A81" s="152" t="s">
        <v>39</v>
      </c>
      <c r="B81" s="171" t="s">
        <v>207</v>
      </c>
      <c r="C81" s="172">
        <f>C55</f>
        <v>0.33800000000000002</v>
      </c>
      <c r="D81" s="168">
        <f>TRUNC(($D$80*C81),2)</f>
        <v>10.82</v>
      </c>
      <c r="E81" s="55"/>
      <c r="F81" s="55"/>
      <c r="G81" s="55"/>
    </row>
    <row r="82" spans="1:7" ht="30" x14ac:dyDescent="0.25">
      <c r="A82" s="152" t="s">
        <v>41</v>
      </c>
      <c r="B82" s="171" t="s">
        <v>108</v>
      </c>
      <c r="C82" s="173">
        <f>(0.08*0.4*0.98)</f>
        <v>3.1359999999999999E-2</v>
      </c>
      <c r="D82" s="175">
        <f>TRUNC(($D$31*C82),2)</f>
        <v>52.72</v>
      </c>
      <c r="E82" s="55"/>
      <c r="F82" s="55"/>
      <c r="G82" s="55"/>
    </row>
    <row r="83" spans="1:7" x14ac:dyDescent="0.25">
      <c r="A83" s="152" t="s">
        <v>44</v>
      </c>
      <c r="B83" s="132"/>
      <c r="C83" s="170">
        <f>SUM(C77:C82)</f>
        <v>0.47072222222222221</v>
      </c>
      <c r="D83" s="154">
        <f>TRUNC((SUM(D77:D82)),2)</f>
        <v>99.66</v>
      </c>
      <c r="E83" s="55"/>
      <c r="F83" s="55"/>
      <c r="G83" s="55"/>
    </row>
    <row r="84" spans="1:7" x14ac:dyDescent="0.25">
      <c r="A84" s="58"/>
      <c r="B84" s="55"/>
      <c r="C84" s="55"/>
      <c r="D84" s="60"/>
      <c r="E84" s="55"/>
      <c r="F84" s="55"/>
      <c r="G84" s="55"/>
    </row>
    <row r="85" spans="1:7" x14ac:dyDescent="0.25">
      <c r="A85" s="257" t="s">
        <v>208</v>
      </c>
      <c r="B85" s="257"/>
      <c r="C85" s="155" t="s">
        <v>198</v>
      </c>
      <c r="D85" s="156">
        <f>D31</f>
        <v>1681.33</v>
      </c>
      <c r="E85" s="55"/>
      <c r="F85" s="55"/>
      <c r="G85" s="55"/>
    </row>
    <row r="86" spans="1:7" x14ac:dyDescent="0.25">
      <c r="A86" s="257"/>
      <c r="B86" s="257"/>
      <c r="C86" s="157" t="s">
        <v>209</v>
      </c>
      <c r="D86" s="156">
        <f>D73</f>
        <v>1438.68</v>
      </c>
      <c r="E86" s="55"/>
      <c r="F86" s="55"/>
      <c r="G86" s="55"/>
    </row>
    <row r="87" spans="1:7" x14ac:dyDescent="0.25">
      <c r="A87" s="257"/>
      <c r="B87" s="257"/>
      <c r="C87" s="155" t="s">
        <v>210</v>
      </c>
      <c r="D87" s="156">
        <f>D83</f>
        <v>99.66</v>
      </c>
      <c r="E87" s="55"/>
      <c r="F87" s="55"/>
      <c r="G87" s="55"/>
    </row>
    <row r="88" spans="1:7" x14ac:dyDescent="0.25">
      <c r="A88" s="257"/>
      <c r="B88" s="257"/>
      <c r="C88" s="157" t="s">
        <v>200</v>
      </c>
      <c r="D88" s="158">
        <f>TRUNC((SUM(D85:D87)),2)</f>
        <v>3219.67</v>
      </c>
      <c r="E88" s="55"/>
      <c r="F88" s="55"/>
      <c r="G88" s="55"/>
    </row>
    <row r="89" spans="1:7" x14ac:dyDescent="0.25">
      <c r="A89" s="58"/>
      <c r="B89" s="55"/>
      <c r="C89" s="55"/>
      <c r="D89" s="60"/>
      <c r="E89" s="55"/>
      <c r="F89" s="55"/>
      <c r="G89" s="55"/>
    </row>
    <row r="90" spans="1:7" x14ac:dyDescent="0.25">
      <c r="A90" s="249" t="s">
        <v>120</v>
      </c>
      <c r="B90" s="249"/>
      <c r="C90" s="249"/>
      <c r="D90" s="249"/>
      <c r="E90" s="55"/>
      <c r="F90" s="55"/>
      <c r="G90" s="55"/>
    </row>
    <row r="91" spans="1:7" x14ac:dyDescent="0.25">
      <c r="A91" s="249" t="s">
        <v>121</v>
      </c>
      <c r="B91" s="249"/>
      <c r="C91" s="249"/>
      <c r="D91" s="249"/>
      <c r="E91" s="55"/>
      <c r="F91" s="55"/>
      <c r="G91" s="55"/>
    </row>
    <row r="92" spans="1:7" x14ac:dyDescent="0.25">
      <c r="A92" s="152" t="s">
        <v>122</v>
      </c>
      <c r="B92" s="132" t="s">
        <v>123</v>
      </c>
      <c r="C92" s="152" t="s">
        <v>24</v>
      </c>
      <c r="D92" s="152" t="s">
        <v>5</v>
      </c>
      <c r="E92" s="55"/>
      <c r="F92" s="55"/>
      <c r="G92" s="55"/>
    </row>
    <row r="93" spans="1:7" x14ac:dyDescent="0.25">
      <c r="A93" s="152" t="s">
        <v>28</v>
      </c>
      <c r="B93" s="132" t="s">
        <v>211</v>
      </c>
      <c r="C93" s="170">
        <f>(((1+1/3)/12)/12)+((1/12)/12)</f>
        <v>1.6203703703703703E-2</v>
      </c>
      <c r="D93" s="154">
        <f t="shared" ref="D93:D97" si="2">TRUNC(($D$88*C93),2)</f>
        <v>52.17</v>
      </c>
      <c r="E93" s="55"/>
      <c r="F93" s="55"/>
      <c r="G93" s="55"/>
    </row>
    <row r="94" spans="1:7" x14ac:dyDescent="0.25">
      <c r="A94" s="152" t="s">
        <v>31</v>
      </c>
      <c r="B94" s="132" t="s">
        <v>126</v>
      </c>
      <c r="C94" s="160">
        <f>((5/30)/12)</f>
        <v>1.3888888888888888E-2</v>
      </c>
      <c r="D94" s="168">
        <f t="shared" si="2"/>
        <v>44.71</v>
      </c>
      <c r="E94" s="55"/>
      <c r="F94" s="55"/>
      <c r="G94" s="55"/>
    </row>
    <row r="95" spans="1:7" x14ac:dyDescent="0.25">
      <c r="A95" s="152" t="s">
        <v>34</v>
      </c>
      <c r="B95" s="132" t="s">
        <v>127</v>
      </c>
      <c r="C95" s="160">
        <f>((5/30)/12)*0.02</f>
        <v>2.7777777777777778E-4</v>
      </c>
      <c r="D95" s="168">
        <f t="shared" si="2"/>
        <v>0.89</v>
      </c>
      <c r="E95" s="55"/>
      <c r="F95" s="55"/>
      <c r="G95" s="55"/>
    </row>
    <row r="96" spans="1:7" x14ac:dyDescent="0.25">
      <c r="A96" s="166" t="s">
        <v>36</v>
      </c>
      <c r="B96" s="171" t="s">
        <v>128</v>
      </c>
      <c r="C96" s="172">
        <f>((15/30)/12)*0.08</f>
        <v>3.3333333333333331E-3</v>
      </c>
      <c r="D96" s="168">
        <f t="shared" si="2"/>
        <v>10.73</v>
      </c>
      <c r="E96" s="55"/>
      <c r="F96" s="55"/>
      <c r="G96" s="55"/>
    </row>
    <row r="97" spans="1:7" x14ac:dyDescent="0.25">
      <c r="A97" s="152" t="s">
        <v>39</v>
      </c>
      <c r="B97" s="132" t="s">
        <v>129</v>
      </c>
      <c r="C97" s="160">
        <f>((1+1/3)/12)*0.03*((4/12))</f>
        <v>1.1111111111111109E-3</v>
      </c>
      <c r="D97" s="168">
        <f t="shared" si="2"/>
        <v>3.57</v>
      </c>
      <c r="E97" s="55"/>
      <c r="F97" s="55"/>
      <c r="G97" s="55"/>
    </row>
    <row r="98" spans="1:7" x14ac:dyDescent="0.25">
      <c r="A98" s="152" t="s">
        <v>41</v>
      </c>
      <c r="B98" s="171" t="s">
        <v>212</v>
      </c>
      <c r="C98" s="176">
        <v>0</v>
      </c>
      <c r="D98" s="168">
        <f>TRUNC($D$88*C98)</f>
        <v>0</v>
      </c>
      <c r="E98" s="55"/>
      <c r="F98" s="55"/>
      <c r="G98" s="55"/>
    </row>
    <row r="99" spans="1:7" x14ac:dyDescent="0.25">
      <c r="A99" s="152" t="s">
        <v>44</v>
      </c>
      <c r="B99" s="132"/>
      <c r="C99" s="170">
        <f>SUM(C93:C98)</f>
        <v>3.4814814814814812E-2</v>
      </c>
      <c r="D99" s="154">
        <f>TRUNC((SUM(D93:D98)),2)</f>
        <v>112.07</v>
      </c>
      <c r="E99" s="55"/>
      <c r="F99" s="55"/>
      <c r="G99" s="55"/>
    </row>
    <row r="100" spans="1:7" x14ac:dyDescent="0.25">
      <c r="A100" s="58"/>
      <c r="B100" s="55"/>
      <c r="C100" s="58"/>
      <c r="D100" s="60"/>
      <c r="E100" s="55"/>
      <c r="F100" s="55"/>
      <c r="G100" s="55"/>
    </row>
    <row r="101" spans="1:7" x14ac:dyDescent="0.25">
      <c r="A101" s="249" t="s">
        <v>140</v>
      </c>
      <c r="B101" s="249"/>
      <c r="C101" s="249"/>
      <c r="D101" s="249"/>
      <c r="E101" s="55"/>
      <c r="F101" s="55"/>
      <c r="G101" s="55"/>
    </row>
    <row r="102" spans="1:7" x14ac:dyDescent="0.25">
      <c r="A102" s="152" t="s">
        <v>141</v>
      </c>
      <c r="B102" s="132" t="s">
        <v>142</v>
      </c>
      <c r="C102" s="152" t="s">
        <v>4</v>
      </c>
      <c r="D102" s="152" t="s">
        <v>5</v>
      </c>
      <c r="E102" s="55"/>
      <c r="F102" s="55"/>
      <c r="G102" s="55"/>
    </row>
    <row r="103" spans="1:7" ht="135" x14ac:dyDescent="0.25">
      <c r="A103" s="166" t="s">
        <v>28</v>
      </c>
      <c r="B103" s="177" t="s">
        <v>143</v>
      </c>
      <c r="C103" s="178" t="s">
        <v>213</v>
      </c>
      <c r="D103" s="179" t="s">
        <v>214</v>
      </c>
      <c r="E103" s="55"/>
      <c r="F103" s="55"/>
      <c r="G103" s="55"/>
    </row>
    <row r="104" spans="1:7" x14ac:dyDescent="0.25">
      <c r="A104" s="152" t="s">
        <v>44</v>
      </c>
      <c r="B104" s="132"/>
      <c r="C104" s="180"/>
      <c r="D104" s="181" t="str">
        <f>D103</f>
        <v>*=TRUNCAR(($D$86/220)*(1*(365/12))/2)</v>
      </c>
      <c r="E104" s="55"/>
      <c r="F104" s="55"/>
      <c r="G104" s="55"/>
    </row>
    <row r="105" spans="1:7" x14ac:dyDescent="0.25">
      <c r="A105" s="55"/>
      <c r="B105" s="55"/>
      <c r="C105" s="55"/>
      <c r="D105" s="55"/>
      <c r="E105" s="55"/>
      <c r="F105" s="55"/>
      <c r="G105" s="55"/>
    </row>
    <row r="106" spans="1:7" x14ac:dyDescent="0.25">
      <c r="A106" s="249" t="s">
        <v>144</v>
      </c>
      <c r="B106" s="249"/>
      <c r="C106" s="249"/>
      <c r="D106" s="249"/>
      <c r="E106" s="55"/>
      <c r="F106" s="55"/>
      <c r="G106" s="55"/>
    </row>
    <row r="107" spans="1:7" x14ac:dyDescent="0.25">
      <c r="A107" s="152" t="s">
        <v>145</v>
      </c>
      <c r="B107" s="132" t="s">
        <v>146</v>
      </c>
      <c r="C107" s="152" t="s">
        <v>4</v>
      </c>
      <c r="D107" s="152" t="s">
        <v>5</v>
      </c>
      <c r="E107" s="55"/>
      <c r="F107" s="55"/>
      <c r="G107" s="55"/>
    </row>
    <row r="108" spans="1:7" x14ac:dyDescent="0.25">
      <c r="A108" s="152" t="s">
        <v>122</v>
      </c>
      <c r="B108" s="132" t="s">
        <v>123</v>
      </c>
      <c r="C108" s="132"/>
      <c r="D108" s="161">
        <f>D99</f>
        <v>112.07</v>
      </c>
      <c r="E108" s="55"/>
      <c r="F108" s="55"/>
      <c r="G108" s="55"/>
    </row>
    <row r="109" spans="1:7" x14ac:dyDescent="0.25">
      <c r="A109" s="152" t="s">
        <v>141</v>
      </c>
      <c r="B109" s="132" t="s">
        <v>147</v>
      </c>
      <c r="C109" s="132"/>
      <c r="D109" s="182"/>
      <c r="E109" s="55"/>
      <c r="F109" s="55"/>
      <c r="G109" s="55"/>
    </row>
    <row r="110" spans="1:7" ht="90" x14ac:dyDescent="0.25">
      <c r="A110" s="166" t="s">
        <v>44</v>
      </c>
      <c r="B110" s="167"/>
      <c r="C110" s="178" t="s">
        <v>215</v>
      </c>
      <c r="D110" s="183">
        <f>TRUNC((SUM(D108:D109)),2)</f>
        <v>112.07</v>
      </c>
      <c r="E110" s="55"/>
      <c r="F110" s="55"/>
      <c r="G110" s="55"/>
    </row>
    <row r="111" spans="1:7" x14ac:dyDescent="0.25">
      <c r="A111" s="55"/>
      <c r="B111" s="55"/>
      <c r="C111" s="55"/>
      <c r="D111" s="55"/>
      <c r="E111" s="55"/>
      <c r="F111" s="55"/>
      <c r="G111" s="55"/>
    </row>
    <row r="112" spans="1:7" x14ac:dyDescent="0.25">
      <c r="A112" s="246" t="s">
        <v>148</v>
      </c>
      <c r="B112" s="246"/>
      <c r="C112" s="246"/>
      <c r="D112" s="246"/>
      <c r="E112" s="55"/>
      <c r="F112" s="55"/>
      <c r="G112" s="55"/>
    </row>
    <row r="113" spans="1:7" x14ac:dyDescent="0.25">
      <c r="A113" s="166" t="s">
        <v>149</v>
      </c>
      <c r="B113" s="167" t="s">
        <v>150</v>
      </c>
      <c r="C113" s="166" t="s">
        <v>4</v>
      </c>
      <c r="D113" s="166" t="s">
        <v>5</v>
      </c>
      <c r="E113" s="55"/>
      <c r="F113" s="55"/>
      <c r="G113" s="55"/>
    </row>
    <row r="114" spans="1:7" x14ac:dyDescent="0.25">
      <c r="A114" s="152" t="s">
        <v>28</v>
      </c>
      <c r="B114" s="132" t="s">
        <v>216</v>
      </c>
      <c r="C114" s="132"/>
      <c r="D114" s="184">
        <f>'Uniformes EPI'!F25</f>
        <v>0</v>
      </c>
      <c r="E114" s="55"/>
      <c r="F114" s="55"/>
      <c r="G114" s="55"/>
    </row>
    <row r="115" spans="1:7" x14ac:dyDescent="0.25">
      <c r="A115" s="152" t="s">
        <v>31</v>
      </c>
      <c r="B115" s="132" t="s">
        <v>217</v>
      </c>
      <c r="C115" s="132"/>
      <c r="D115" s="184">
        <v>0</v>
      </c>
      <c r="E115" s="55"/>
      <c r="F115" s="55"/>
      <c r="G115" s="55"/>
    </row>
    <row r="116" spans="1:7" x14ac:dyDescent="0.25">
      <c r="A116" s="152" t="s">
        <v>34</v>
      </c>
      <c r="B116" s="132" t="s">
        <v>152</v>
      </c>
      <c r="C116" s="132"/>
      <c r="D116" s="184">
        <v>0</v>
      </c>
      <c r="E116" s="55"/>
      <c r="F116" s="55"/>
      <c r="G116" s="55"/>
    </row>
    <row r="117" spans="1:7" x14ac:dyDescent="0.25">
      <c r="A117" s="152" t="s">
        <v>36</v>
      </c>
      <c r="B117" s="132" t="s">
        <v>153</v>
      </c>
      <c r="C117" s="132"/>
      <c r="D117" s="184">
        <v>0</v>
      </c>
      <c r="E117" s="55"/>
      <c r="F117" s="55"/>
      <c r="G117" s="55"/>
    </row>
    <row r="118" spans="1:7" x14ac:dyDescent="0.25">
      <c r="A118" s="152" t="s">
        <v>39</v>
      </c>
      <c r="B118" s="132" t="s">
        <v>218</v>
      </c>
      <c r="C118" s="152"/>
      <c r="D118" s="184">
        <v>0</v>
      </c>
      <c r="E118" s="55"/>
      <c r="F118" s="55"/>
      <c r="G118" s="55"/>
    </row>
    <row r="119" spans="1:7" x14ac:dyDescent="0.25">
      <c r="A119" s="152" t="s">
        <v>44</v>
      </c>
      <c r="B119" s="132"/>
      <c r="C119" s="132"/>
      <c r="D119" s="185">
        <f>TRUNC(SUM(D114:D118),2)</f>
        <v>0</v>
      </c>
      <c r="E119" s="55"/>
      <c r="F119" s="55"/>
      <c r="G119" s="55"/>
    </row>
    <row r="120" spans="1:7" x14ac:dyDescent="0.25">
      <c r="A120" s="55"/>
      <c r="B120" s="55"/>
      <c r="C120" s="55"/>
      <c r="D120" s="55"/>
      <c r="E120" s="55"/>
      <c r="F120" s="55"/>
      <c r="G120" s="55"/>
    </row>
    <row r="121" spans="1:7" x14ac:dyDescent="0.25">
      <c r="A121" s="257" t="s">
        <v>219</v>
      </c>
      <c r="B121" s="257"/>
      <c r="C121" s="155" t="s">
        <v>198</v>
      </c>
      <c r="D121" s="156">
        <f>D31</f>
        <v>1681.33</v>
      </c>
      <c r="E121" s="55"/>
      <c r="F121" s="55"/>
      <c r="G121" s="55"/>
    </row>
    <row r="122" spans="1:7" x14ac:dyDescent="0.25">
      <c r="A122" s="257"/>
      <c r="B122" s="257"/>
      <c r="C122" s="157" t="s">
        <v>209</v>
      </c>
      <c r="D122" s="156">
        <f>D73</f>
        <v>1438.68</v>
      </c>
      <c r="E122" s="55"/>
      <c r="F122" s="55"/>
      <c r="G122" s="55"/>
    </row>
    <row r="123" spans="1:7" x14ac:dyDescent="0.25">
      <c r="A123" s="257"/>
      <c r="B123" s="257"/>
      <c r="C123" s="155" t="s">
        <v>210</v>
      </c>
      <c r="D123" s="156">
        <f>D83</f>
        <v>99.66</v>
      </c>
      <c r="E123" s="55"/>
      <c r="F123" s="55"/>
      <c r="G123" s="55"/>
    </row>
    <row r="124" spans="1:7" x14ac:dyDescent="0.25">
      <c r="A124" s="257"/>
      <c r="B124" s="257"/>
      <c r="C124" s="157" t="s">
        <v>220</v>
      </c>
      <c r="D124" s="156">
        <f>D110</f>
        <v>112.07</v>
      </c>
      <c r="E124" s="55"/>
      <c r="F124" s="55"/>
      <c r="G124" s="55"/>
    </row>
    <row r="125" spans="1:7" x14ac:dyDescent="0.25">
      <c r="A125" s="257"/>
      <c r="B125" s="257"/>
      <c r="C125" s="155" t="s">
        <v>221</v>
      </c>
      <c r="D125" s="156">
        <f>D119</f>
        <v>0</v>
      </c>
      <c r="E125" s="55"/>
      <c r="F125" s="55"/>
      <c r="G125" s="55"/>
    </row>
    <row r="126" spans="1:7" x14ac:dyDescent="0.25">
      <c r="A126" s="257"/>
      <c r="B126" s="257"/>
      <c r="C126" s="157" t="s">
        <v>200</v>
      </c>
      <c r="D126" s="158">
        <f>TRUNC((SUM(D121:D125)),2)</f>
        <v>3331.74</v>
      </c>
      <c r="E126" s="55"/>
      <c r="F126" s="55"/>
      <c r="G126" s="55"/>
    </row>
    <row r="127" spans="1:7" x14ac:dyDescent="0.25">
      <c r="A127" s="55"/>
      <c r="B127" s="55"/>
      <c r="C127" s="55"/>
      <c r="D127" s="55"/>
      <c r="E127" s="55"/>
      <c r="F127" s="55"/>
      <c r="G127" s="55"/>
    </row>
    <row r="128" spans="1:7" x14ac:dyDescent="0.25">
      <c r="A128" s="246" t="s">
        <v>160</v>
      </c>
      <c r="B128" s="246"/>
      <c r="C128" s="246"/>
      <c r="D128" s="246"/>
      <c r="E128" s="55"/>
      <c r="F128" s="55"/>
      <c r="G128" s="55"/>
    </row>
    <row r="129" spans="1:7" x14ac:dyDescent="0.25">
      <c r="A129" s="152" t="s">
        <v>161</v>
      </c>
      <c r="B129" s="132" t="s">
        <v>162</v>
      </c>
      <c r="C129" s="152" t="s">
        <v>24</v>
      </c>
      <c r="D129" s="152" t="s">
        <v>5</v>
      </c>
      <c r="E129" s="55"/>
      <c r="F129" s="257" t="s">
        <v>222</v>
      </c>
      <c r="G129" s="257"/>
    </row>
    <row r="130" spans="1:7" x14ac:dyDescent="0.25">
      <c r="A130" s="152" t="s">
        <v>28</v>
      </c>
      <c r="B130" s="132" t="s">
        <v>163</v>
      </c>
      <c r="C130" s="217">
        <v>0</v>
      </c>
      <c r="D130" s="184">
        <f>TRUNC(($D$126*C130),2)</f>
        <v>0</v>
      </c>
      <c r="E130" s="55"/>
      <c r="F130" s="191" t="s">
        <v>223</v>
      </c>
      <c r="G130" s="275">
        <f>C132</f>
        <v>8.6499999999999994E-2</v>
      </c>
    </row>
    <row r="131" spans="1:7" x14ac:dyDescent="0.25">
      <c r="A131" s="152" t="s">
        <v>31</v>
      </c>
      <c r="B131" s="132" t="s">
        <v>45</v>
      </c>
      <c r="C131" s="217">
        <v>0</v>
      </c>
      <c r="D131" s="184">
        <f>TRUNC((C131*(D126+D130)),2)</f>
        <v>0</v>
      </c>
      <c r="E131" s="55"/>
      <c r="F131" s="192" t="s">
        <v>224</v>
      </c>
      <c r="G131" s="193">
        <f>TRUNC(SUM(D126,D130,D131),2)</f>
        <v>3331.74</v>
      </c>
    </row>
    <row r="132" spans="1:7" x14ac:dyDescent="0.25">
      <c r="A132" s="152" t="s">
        <v>34</v>
      </c>
      <c r="B132" s="132" t="s">
        <v>164</v>
      </c>
      <c r="C132" s="274">
        <f>SUM(C133:C135)</f>
        <v>8.6499999999999994E-2</v>
      </c>
      <c r="D132" s="161">
        <f>SUM(D133:D135)</f>
        <v>308.75</v>
      </c>
      <c r="E132" s="55"/>
      <c r="F132" s="191" t="s">
        <v>225</v>
      </c>
      <c r="G132" s="194">
        <f>(100-6.66)/100</f>
        <v>0.93340000000000001</v>
      </c>
    </row>
    <row r="133" spans="1:7" x14ac:dyDescent="0.25">
      <c r="A133" s="152"/>
      <c r="B133" s="132" t="s">
        <v>226</v>
      </c>
      <c r="C133" s="274">
        <v>6.4999999999999997E-3</v>
      </c>
      <c r="D133" s="161">
        <f t="shared" ref="D133:D135" si="3">TRUNC(($G$133*C133),2)</f>
        <v>23.2</v>
      </c>
      <c r="E133" s="55"/>
      <c r="F133" s="192" t="s">
        <v>222</v>
      </c>
      <c r="G133" s="193">
        <f>TRUNC((G131/G132),2)</f>
        <v>3569.46</v>
      </c>
    </row>
    <row r="134" spans="1:7" x14ac:dyDescent="0.25">
      <c r="A134" s="152"/>
      <c r="B134" s="132" t="s">
        <v>227</v>
      </c>
      <c r="C134" s="274">
        <v>0.03</v>
      </c>
      <c r="D134" s="161">
        <f t="shared" si="3"/>
        <v>107.08</v>
      </c>
      <c r="E134" s="55"/>
      <c r="F134" s="55"/>
      <c r="G134" s="55"/>
    </row>
    <row r="135" spans="1:7" x14ac:dyDescent="0.25">
      <c r="A135" s="152"/>
      <c r="B135" s="132" t="s">
        <v>228</v>
      </c>
      <c r="C135" s="274">
        <v>0.05</v>
      </c>
      <c r="D135" s="161">
        <f t="shared" si="3"/>
        <v>178.47</v>
      </c>
      <c r="E135" s="55"/>
      <c r="F135" s="55"/>
      <c r="G135" s="55"/>
    </row>
    <row r="136" spans="1:7" x14ac:dyDescent="0.25">
      <c r="A136" s="152" t="s">
        <v>44</v>
      </c>
      <c r="B136" s="186"/>
      <c r="C136" s="152"/>
      <c r="D136" s="154">
        <f>SUM(D130:D132)</f>
        <v>308.75</v>
      </c>
      <c r="E136" s="55"/>
      <c r="F136" s="55"/>
      <c r="G136" s="55"/>
    </row>
    <row r="137" spans="1:7" x14ac:dyDescent="0.25">
      <c r="A137" s="58"/>
      <c r="B137" s="55"/>
      <c r="C137" s="63"/>
      <c r="D137" s="60"/>
      <c r="E137" s="55"/>
      <c r="F137" s="55"/>
      <c r="G137" s="55"/>
    </row>
    <row r="138" spans="1:7" x14ac:dyDescent="0.25">
      <c r="A138" s="55"/>
      <c r="B138" s="55"/>
      <c r="C138" s="55"/>
      <c r="D138" s="55"/>
      <c r="E138" s="55"/>
      <c r="F138" s="55"/>
      <c r="G138" s="55"/>
    </row>
    <row r="139" spans="1:7" x14ac:dyDescent="0.25">
      <c r="A139" s="246" t="s">
        <v>168</v>
      </c>
      <c r="B139" s="246"/>
      <c r="C139" s="246"/>
      <c r="D139" s="246"/>
      <c r="E139" s="55"/>
      <c r="F139" s="55"/>
      <c r="G139" s="55"/>
    </row>
    <row r="140" spans="1:7" x14ac:dyDescent="0.25">
      <c r="A140" s="152" t="s">
        <v>2</v>
      </c>
      <c r="B140" s="152" t="s">
        <v>169</v>
      </c>
      <c r="C140" s="152" t="s">
        <v>95</v>
      </c>
      <c r="D140" s="152" t="s">
        <v>5</v>
      </c>
      <c r="E140" s="55"/>
      <c r="F140" s="55"/>
      <c r="G140" s="55"/>
    </row>
    <row r="141" spans="1:7" x14ac:dyDescent="0.25">
      <c r="A141" s="152" t="s">
        <v>28</v>
      </c>
      <c r="B141" s="132" t="s">
        <v>22</v>
      </c>
      <c r="C141" s="132"/>
      <c r="D141" s="154">
        <f>D31</f>
        <v>1681.33</v>
      </c>
      <c r="E141" s="55"/>
      <c r="F141" s="55"/>
      <c r="G141" s="55"/>
    </row>
    <row r="142" spans="1:7" x14ac:dyDescent="0.25">
      <c r="A142" s="152" t="s">
        <v>31</v>
      </c>
      <c r="B142" s="132" t="s">
        <v>47</v>
      </c>
      <c r="C142" s="132"/>
      <c r="D142" s="154">
        <f>D73</f>
        <v>1438.68</v>
      </c>
      <c r="E142" s="55"/>
      <c r="F142" s="55"/>
      <c r="G142" s="55"/>
    </row>
    <row r="143" spans="1:7" x14ac:dyDescent="0.25">
      <c r="A143" s="152" t="s">
        <v>34</v>
      </c>
      <c r="B143" s="132" t="s">
        <v>101</v>
      </c>
      <c r="C143" s="132"/>
      <c r="D143" s="154">
        <f>D83</f>
        <v>99.66</v>
      </c>
      <c r="E143" s="55"/>
      <c r="F143" s="55"/>
      <c r="G143" s="55"/>
    </row>
    <row r="144" spans="1:7" x14ac:dyDescent="0.25">
      <c r="A144" s="152" t="s">
        <v>36</v>
      </c>
      <c r="B144" s="132" t="s">
        <v>170</v>
      </c>
      <c r="C144" s="132"/>
      <c r="D144" s="154">
        <f>D110</f>
        <v>112.07</v>
      </c>
      <c r="E144" s="55"/>
      <c r="F144" s="55"/>
      <c r="G144" s="55"/>
    </row>
    <row r="145" spans="1:7" x14ac:dyDescent="0.25">
      <c r="A145" s="152" t="s">
        <v>39</v>
      </c>
      <c r="B145" s="132" t="s">
        <v>148</v>
      </c>
      <c r="C145" s="132"/>
      <c r="D145" s="154">
        <f>D119</f>
        <v>0</v>
      </c>
      <c r="E145" s="55"/>
      <c r="F145" s="55"/>
      <c r="G145" s="55"/>
    </row>
    <row r="146" spans="1:7" x14ac:dyDescent="0.25">
      <c r="A146" s="132"/>
      <c r="B146" s="166" t="s">
        <v>171</v>
      </c>
      <c r="C146" s="132"/>
      <c r="D146" s="154">
        <f>SUM(D141:D145)</f>
        <v>3331.7400000000002</v>
      </c>
      <c r="E146" s="55"/>
      <c r="F146" s="55"/>
      <c r="G146" s="55"/>
    </row>
    <row r="147" spans="1:7" x14ac:dyDescent="0.25">
      <c r="A147" s="152" t="s">
        <v>41</v>
      </c>
      <c r="B147" s="132" t="s">
        <v>160</v>
      </c>
      <c r="C147" s="132"/>
      <c r="D147" s="154">
        <f>D136</f>
        <v>308.75</v>
      </c>
      <c r="E147" s="55"/>
      <c r="F147" s="55"/>
      <c r="G147" s="55"/>
    </row>
    <row r="148" spans="1:7" x14ac:dyDescent="0.25">
      <c r="A148" s="188"/>
      <c r="B148" s="189" t="s">
        <v>229</v>
      </c>
      <c r="C148" s="188"/>
      <c r="D148" s="190">
        <f>TRUNC((SUM(D141:D145)+D147),2)</f>
        <v>3640.49</v>
      </c>
      <c r="E148" s="55"/>
      <c r="F148" s="55"/>
      <c r="G148" s="55"/>
    </row>
  </sheetData>
  <mergeCells count="33">
    <mergeCell ref="A41:B43"/>
    <mergeCell ref="A85:B88"/>
    <mergeCell ref="A121:B126"/>
    <mergeCell ref="A101:D101"/>
    <mergeCell ref="A106:D106"/>
    <mergeCell ref="A112:D112"/>
    <mergeCell ref="A128:D128"/>
    <mergeCell ref="F129:G129"/>
    <mergeCell ref="A139:D139"/>
    <mergeCell ref="A45:D45"/>
    <mergeCell ref="A57:D57"/>
    <mergeCell ref="A68:D68"/>
    <mergeCell ref="A75:D75"/>
    <mergeCell ref="A90:D90"/>
    <mergeCell ref="A91:D91"/>
    <mergeCell ref="F15:G15"/>
    <mergeCell ref="F22:G22"/>
    <mergeCell ref="A23:D23"/>
    <mergeCell ref="F31:G31"/>
    <mergeCell ref="A33:D33"/>
    <mergeCell ref="A35:D35"/>
    <mergeCell ref="C10:D10"/>
    <mergeCell ref="A11:D11"/>
    <mergeCell ref="A12:B12"/>
    <mergeCell ref="A13:B13"/>
    <mergeCell ref="A14:B14"/>
    <mergeCell ref="A15:D15"/>
    <mergeCell ref="C9:D9"/>
    <mergeCell ref="A2:D2"/>
    <mergeCell ref="A3:D3"/>
    <mergeCell ref="A6:D6"/>
    <mergeCell ref="C7:D7"/>
    <mergeCell ref="C8:D8"/>
  </mergeCells>
  <pageMargins left="0.25" right="0.25" top="0.75" bottom="0.75" header="0.3" footer="0.3"/>
  <pageSetup paperSize="9" scale="57"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47"/>
  <sheetViews>
    <sheetView zoomScaleSheetLayoutView="100" workbookViewId="0">
      <selection activeCell="B5" sqref="B5"/>
    </sheetView>
  </sheetViews>
  <sheetFormatPr defaultColWidth="9.140625" defaultRowHeight="15" x14ac:dyDescent="0.25"/>
  <cols>
    <col min="1" max="1" width="12.7109375" customWidth="1"/>
    <col min="2" max="2" width="54.28515625" customWidth="1"/>
    <col min="3" max="3" width="20.28515625" customWidth="1"/>
    <col min="4" max="4" width="38" bestFit="1" customWidth="1"/>
    <col min="6" max="6" width="22.85546875" customWidth="1"/>
    <col min="7" max="7" width="11.42578125" customWidth="1"/>
  </cols>
  <sheetData>
    <row r="1" spans="1:7" x14ac:dyDescent="0.25">
      <c r="A1" s="55"/>
      <c r="B1" s="55"/>
      <c r="C1" s="55"/>
      <c r="D1" s="55"/>
      <c r="E1" s="55"/>
      <c r="F1" s="55"/>
      <c r="G1" s="55"/>
    </row>
    <row r="2" spans="1:7" ht="18.75" x14ac:dyDescent="0.3">
      <c r="A2" s="244" t="s">
        <v>174</v>
      </c>
      <c r="B2" s="244"/>
      <c r="C2" s="244"/>
      <c r="D2" s="244"/>
      <c r="E2" s="55"/>
      <c r="F2" s="55"/>
      <c r="G2" s="55"/>
    </row>
    <row r="3" spans="1:7" x14ac:dyDescent="0.25">
      <c r="A3" s="245" t="s">
        <v>316</v>
      </c>
      <c r="B3" s="245"/>
      <c r="C3" s="245"/>
      <c r="D3" s="245"/>
      <c r="E3" s="55"/>
      <c r="F3" s="55"/>
      <c r="G3" s="55"/>
    </row>
    <row r="4" spans="1:7" x14ac:dyDescent="0.25">
      <c r="A4" s="142" t="s">
        <v>175</v>
      </c>
      <c r="B4" s="143" t="s">
        <v>413</v>
      </c>
      <c r="C4" s="144"/>
      <c r="D4" s="144"/>
      <c r="E4" s="55"/>
      <c r="F4" s="55"/>
      <c r="G4" s="55"/>
    </row>
    <row r="5" spans="1:7" x14ac:dyDescent="0.25">
      <c r="A5" s="56"/>
      <c r="B5" s="57"/>
      <c r="C5" s="57"/>
      <c r="D5" s="57"/>
      <c r="E5" s="55"/>
      <c r="F5" s="55"/>
      <c r="G5" s="55"/>
    </row>
    <row r="6" spans="1:7" x14ac:dyDescent="0.25">
      <c r="A6" s="246" t="s">
        <v>176</v>
      </c>
      <c r="B6" s="246"/>
      <c r="C6" s="246"/>
      <c r="D6" s="246"/>
      <c r="E6" s="55"/>
      <c r="F6" s="55"/>
      <c r="G6" s="55"/>
    </row>
    <row r="7" spans="1:7" x14ac:dyDescent="0.25">
      <c r="A7" s="145" t="s">
        <v>28</v>
      </c>
      <c r="B7" s="146" t="s">
        <v>177</v>
      </c>
      <c r="C7" s="247" t="s">
        <v>317</v>
      </c>
      <c r="D7" s="243"/>
      <c r="E7" s="55"/>
      <c r="F7" s="55"/>
      <c r="G7" s="55"/>
    </row>
    <row r="8" spans="1:7" x14ac:dyDescent="0.25">
      <c r="A8" s="147" t="s">
        <v>31</v>
      </c>
      <c r="B8" s="148" t="s">
        <v>178</v>
      </c>
      <c r="C8" s="243" t="s">
        <v>179</v>
      </c>
      <c r="D8" s="243"/>
      <c r="E8" s="55"/>
      <c r="F8" s="55"/>
      <c r="G8" s="55"/>
    </row>
    <row r="9" spans="1:7" x14ac:dyDescent="0.25">
      <c r="A9" s="145" t="s">
        <v>34</v>
      </c>
      <c r="B9" s="146" t="s">
        <v>180</v>
      </c>
      <c r="C9" s="243" t="s">
        <v>204</v>
      </c>
      <c r="D9" s="243"/>
      <c r="E9" s="55"/>
      <c r="F9" s="55"/>
      <c r="G9" s="55"/>
    </row>
    <row r="10" spans="1:7" x14ac:dyDescent="0.25">
      <c r="A10" s="147" t="s">
        <v>39</v>
      </c>
      <c r="B10" s="148" t="s">
        <v>181</v>
      </c>
      <c r="C10" s="243" t="s">
        <v>182</v>
      </c>
      <c r="D10" s="243"/>
      <c r="E10" s="55"/>
      <c r="F10" s="55"/>
      <c r="G10" s="55"/>
    </row>
    <row r="11" spans="1:7" x14ac:dyDescent="0.25">
      <c r="A11" s="246" t="s">
        <v>183</v>
      </c>
      <c r="B11" s="246"/>
      <c r="C11" s="246"/>
      <c r="D11" s="246"/>
      <c r="E11" s="55"/>
      <c r="F11" s="55"/>
      <c r="G11" s="55"/>
    </row>
    <row r="12" spans="1:7" x14ac:dyDescent="0.25">
      <c r="A12" s="249" t="s">
        <v>184</v>
      </c>
      <c r="B12" s="249"/>
      <c r="C12" s="149" t="s">
        <v>185</v>
      </c>
      <c r="D12" s="149" t="s">
        <v>186</v>
      </c>
      <c r="E12" s="55"/>
      <c r="F12" s="55"/>
      <c r="G12" s="55"/>
    </row>
    <row r="13" spans="1:7" x14ac:dyDescent="0.25">
      <c r="A13" s="250" t="s">
        <v>230</v>
      </c>
      <c r="B13" s="250"/>
      <c r="C13" s="133" t="s">
        <v>187</v>
      </c>
      <c r="D13" s="197">
        <f>'Áreas e Produtividades'!N21</f>
        <v>19.044704930501389</v>
      </c>
      <c r="E13" s="55"/>
      <c r="F13" s="55"/>
      <c r="G13" s="55"/>
    </row>
    <row r="14" spans="1:7" x14ac:dyDescent="0.25">
      <c r="A14" s="258"/>
      <c r="B14" s="258"/>
      <c r="C14" s="195"/>
      <c r="D14" s="196"/>
      <c r="E14" s="55"/>
      <c r="F14" s="55"/>
      <c r="G14" s="55"/>
    </row>
    <row r="15" spans="1:7" x14ac:dyDescent="0.25">
      <c r="A15" s="246" t="s">
        <v>0</v>
      </c>
      <c r="B15" s="246"/>
      <c r="C15" s="246"/>
      <c r="D15" s="246"/>
      <c r="E15" s="55"/>
      <c r="F15" s="253"/>
      <c r="G15" s="253"/>
    </row>
    <row r="16" spans="1:7" x14ac:dyDescent="0.25">
      <c r="A16" s="152" t="s">
        <v>2</v>
      </c>
      <c r="B16" s="132" t="s">
        <v>3</v>
      </c>
      <c r="C16" s="152" t="s">
        <v>4</v>
      </c>
      <c r="D16" s="152" t="s">
        <v>5</v>
      </c>
      <c r="E16" s="55"/>
      <c r="F16" s="55"/>
      <c r="G16" s="55"/>
    </row>
    <row r="17" spans="1:7" x14ac:dyDescent="0.25">
      <c r="A17" s="152">
        <v>1</v>
      </c>
      <c r="B17" s="132" t="s">
        <v>6</v>
      </c>
      <c r="C17" s="133" t="s">
        <v>95</v>
      </c>
      <c r="D17" s="133" t="str">
        <f>A13</f>
        <v>Auxiliar de Serviços Gerais (ASG)</v>
      </c>
      <c r="E17" s="55"/>
      <c r="F17" s="55"/>
      <c r="G17" s="55"/>
    </row>
    <row r="18" spans="1:7" x14ac:dyDescent="0.25">
      <c r="A18" s="152">
        <v>2</v>
      </c>
      <c r="B18" s="132" t="s">
        <v>9</v>
      </c>
      <c r="C18" s="133" t="s">
        <v>188</v>
      </c>
      <c r="D18" s="133" t="s">
        <v>231</v>
      </c>
      <c r="E18" s="55"/>
      <c r="F18" s="55"/>
      <c r="G18" s="55"/>
    </row>
    <row r="19" spans="1:7" x14ac:dyDescent="0.25">
      <c r="A19" s="152">
        <v>3</v>
      </c>
      <c r="B19" s="132" t="s">
        <v>12</v>
      </c>
      <c r="C19" s="218" t="str">
        <f>C9</f>
        <v>CCT PB000517/2021</v>
      </c>
      <c r="D19" s="219">
        <v>1213.74</v>
      </c>
      <c r="E19" s="55"/>
      <c r="F19" s="55"/>
      <c r="G19" s="55"/>
    </row>
    <row r="20" spans="1:7" x14ac:dyDescent="0.25">
      <c r="A20" s="152">
        <v>4</v>
      </c>
      <c r="B20" s="132" t="s">
        <v>15</v>
      </c>
      <c r="C20" s="218" t="str">
        <f>C9</f>
        <v>CCT PB000517/2021</v>
      </c>
      <c r="D20" s="133" t="s">
        <v>190</v>
      </c>
      <c r="E20" s="55"/>
      <c r="F20" s="55"/>
      <c r="G20" s="55"/>
    </row>
    <row r="21" spans="1:7" x14ac:dyDescent="0.25">
      <c r="A21" s="152">
        <v>5</v>
      </c>
      <c r="B21" s="132" t="s">
        <v>19</v>
      </c>
      <c r="C21" s="218" t="str">
        <f>C9</f>
        <v>CCT PB000517/2021</v>
      </c>
      <c r="D21" s="198" t="s">
        <v>191</v>
      </c>
      <c r="E21" s="55"/>
      <c r="F21" s="55"/>
      <c r="G21" s="55"/>
    </row>
    <row r="22" spans="1:7" x14ac:dyDescent="0.25">
      <c r="A22" s="55"/>
      <c r="B22" s="55"/>
      <c r="C22" s="55"/>
      <c r="D22" s="55"/>
      <c r="E22" s="55"/>
      <c r="F22" s="253"/>
      <c r="G22" s="253"/>
    </row>
    <row r="23" spans="1:7" x14ac:dyDescent="0.25">
      <c r="A23" s="246" t="s">
        <v>22</v>
      </c>
      <c r="B23" s="246"/>
      <c r="C23" s="246"/>
      <c r="D23" s="246"/>
      <c r="E23" s="55"/>
      <c r="F23" s="55"/>
      <c r="G23" s="55"/>
    </row>
    <row r="24" spans="1:7" x14ac:dyDescent="0.25">
      <c r="A24" s="152" t="s">
        <v>25</v>
      </c>
      <c r="B24" s="132" t="s">
        <v>26</v>
      </c>
      <c r="C24" s="152" t="s">
        <v>4</v>
      </c>
      <c r="D24" s="152" t="s">
        <v>5</v>
      </c>
      <c r="E24" s="55"/>
      <c r="F24" s="55"/>
      <c r="G24" s="59"/>
    </row>
    <row r="25" spans="1:7" x14ac:dyDescent="0.25">
      <c r="A25" s="152" t="s">
        <v>28</v>
      </c>
      <c r="B25" s="132" t="s">
        <v>29</v>
      </c>
      <c r="C25" s="139" t="s">
        <v>232</v>
      </c>
      <c r="D25" s="161">
        <f>D19</f>
        <v>1213.74</v>
      </c>
      <c r="E25" s="55"/>
      <c r="F25" s="55"/>
      <c r="G25" s="59"/>
    </row>
    <row r="26" spans="1:7" x14ac:dyDescent="0.25">
      <c r="A26" s="152" t="s">
        <v>31</v>
      </c>
      <c r="B26" s="132" t="s">
        <v>32</v>
      </c>
      <c r="C26" s="133"/>
      <c r="D26" s="161">
        <v>0</v>
      </c>
      <c r="E26" s="55"/>
      <c r="F26" s="55"/>
      <c r="G26" s="59"/>
    </row>
    <row r="27" spans="1:7" x14ac:dyDescent="0.25">
      <c r="A27" s="152" t="s">
        <v>34</v>
      </c>
      <c r="B27" s="132" t="s">
        <v>35</v>
      </c>
      <c r="C27" s="133"/>
      <c r="D27" s="161">
        <v>0</v>
      </c>
      <c r="E27" s="55"/>
      <c r="F27" s="55"/>
      <c r="G27" s="55"/>
    </row>
    <row r="28" spans="1:7" x14ac:dyDescent="0.25">
      <c r="A28" s="152" t="s">
        <v>36</v>
      </c>
      <c r="B28" s="132" t="s">
        <v>37</v>
      </c>
      <c r="C28" s="133"/>
      <c r="D28" s="161">
        <v>0</v>
      </c>
      <c r="E28" s="55"/>
      <c r="F28" s="55"/>
      <c r="G28" s="55"/>
    </row>
    <row r="29" spans="1:7" x14ac:dyDescent="0.25">
      <c r="A29" s="152" t="s">
        <v>39</v>
      </c>
      <c r="B29" s="132" t="s">
        <v>40</v>
      </c>
      <c r="C29" s="133"/>
      <c r="D29" s="161">
        <v>0</v>
      </c>
      <c r="E29" s="55"/>
      <c r="F29" s="55"/>
      <c r="G29" s="55"/>
    </row>
    <row r="30" spans="1:7" x14ac:dyDescent="0.25">
      <c r="A30" s="152" t="s">
        <v>41</v>
      </c>
      <c r="B30" s="132" t="s">
        <v>233</v>
      </c>
      <c r="C30" s="133"/>
      <c r="D30" s="161">
        <v>0</v>
      </c>
      <c r="E30" s="55"/>
      <c r="F30" s="55"/>
      <c r="G30" s="55"/>
    </row>
    <row r="31" spans="1:7" x14ac:dyDescent="0.25">
      <c r="A31" s="152" t="s">
        <v>44</v>
      </c>
      <c r="B31" s="132"/>
      <c r="C31" s="152"/>
      <c r="D31" s="154">
        <f>TRUNC((SUM(D25:D30)),2)</f>
        <v>1213.74</v>
      </c>
      <c r="E31" s="55"/>
      <c r="F31" s="253"/>
      <c r="G31" s="253"/>
    </row>
    <row r="32" spans="1:7" x14ac:dyDescent="0.25">
      <c r="A32" s="55"/>
      <c r="B32" s="55"/>
      <c r="C32" s="55"/>
      <c r="D32" s="55"/>
      <c r="E32" s="55"/>
      <c r="F32" s="55"/>
      <c r="G32" s="55"/>
    </row>
    <row r="33" spans="1:7" x14ac:dyDescent="0.25">
      <c r="A33" s="246" t="s">
        <v>47</v>
      </c>
      <c r="B33" s="246"/>
      <c r="C33" s="246"/>
      <c r="D33" s="246"/>
      <c r="E33" s="55"/>
      <c r="F33" s="55"/>
      <c r="G33" s="59"/>
    </row>
    <row r="34" spans="1:7" x14ac:dyDescent="0.25">
      <c r="A34" s="132"/>
      <c r="B34" s="132"/>
      <c r="C34" s="132"/>
      <c r="D34" s="132"/>
      <c r="E34" s="55"/>
      <c r="F34" s="55"/>
      <c r="G34" s="55"/>
    </row>
    <row r="35" spans="1:7" x14ac:dyDescent="0.25">
      <c r="A35" s="246" t="s">
        <v>194</v>
      </c>
      <c r="B35" s="246"/>
      <c r="C35" s="246"/>
      <c r="D35" s="246"/>
      <c r="E35" s="55"/>
      <c r="F35" s="55"/>
      <c r="G35" s="55"/>
    </row>
    <row r="36" spans="1:7" x14ac:dyDescent="0.25">
      <c r="A36" s="152" t="s">
        <v>51</v>
      </c>
      <c r="B36" s="132" t="s">
        <v>195</v>
      </c>
      <c r="C36" s="152" t="s">
        <v>24</v>
      </c>
      <c r="D36" s="152" t="s">
        <v>5</v>
      </c>
      <c r="E36" s="55"/>
      <c r="F36" s="55"/>
      <c r="G36" s="55"/>
    </row>
    <row r="37" spans="1:7" x14ac:dyDescent="0.25">
      <c r="A37" s="152" t="s">
        <v>28</v>
      </c>
      <c r="B37" s="132" t="s">
        <v>53</v>
      </c>
      <c r="C37" s="153">
        <f>(1/12)</f>
        <v>8.3333333333333329E-2</v>
      </c>
      <c r="D37" s="154">
        <f>TRUNC($D$31*C37,2)</f>
        <v>101.14</v>
      </c>
      <c r="E37" s="55"/>
      <c r="F37" s="55"/>
      <c r="G37" s="55"/>
    </row>
    <row r="38" spans="1:7" x14ac:dyDescent="0.25">
      <c r="A38" s="152" t="s">
        <v>31</v>
      </c>
      <c r="B38" s="132" t="s">
        <v>196</v>
      </c>
      <c r="C38" s="153">
        <f>(((1+1/3)/12))</f>
        <v>0.1111111111111111</v>
      </c>
      <c r="D38" s="154">
        <f>TRUNC($D$31*C38,2)</f>
        <v>134.86000000000001</v>
      </c>
      <c r="E38" s="55"/>
      <c r="F38" s="55"/>
      <c r="G38" s="55"/>
    </row>
    <row r="39" spans="1:7" x14ac:dyDescent="0.25">
      <c r="A39" s="152" t="s">
        <v>44</v>
      </c>
      <c r="B39" s="132"/>
      <c r="C39" s="132"/>
      <c r="D39" s="154">
        <f>TRUNC((SUM(D37:D38)),2)</f>
        <v>236</v>
      </c>
      <c r="E39" s="55"/>
      <c r="F39" s="55"/>
      <c r="G39" s="55"/>
    </row>
    <row r="40" spans="1:7" x14ac:dyDescent="0.25">
      <c r="A40" s="55"/>
      <c r="B40" s="55"/>
      <c r="C40" s="55"/>
      <c r="D40" s="60"/>
      <c r="E40" s="55"/>
      <c r="F40" s="55"/>
      <c r="G40" s="55"/>
    </row>
    <row r="41" spans="1:7" x14ac:dyDescent="0.25">
      <c r="A41" s="257" t="s">
        <v>197</v>
      </c>
      <c r="B41" s="257"/>
      <c r="C41" s="155" t="s">
        <v>198</v>
      </c>
      <c r="D41" s="156">
        <f>D31</f>
        <v>1213.74</v>
      </c>
      <c r="E41" s="55"/>
      <c r="F41" s="55"/>
      <c r="G41" s="55"/>
    </row>
    <row r="42" spans="1:7" x14ac:dyDescent="0.25">
      <c r="A42" s="257"/>
      <c r="B42" s="257"/>
      <c r="C42" s="157" t="s">
        <v>199</v>
      </c>
      <c r="D42" s="156">
        <f>D39</f>
        <v>236</v>
      </c>
      <c r="E42" s="55"/>
      <c r="F42" s="55"/>
      <c r="G42" s="55"/>
    </row>
    <row r="43" spans="1:7" x14ac:dyDescent="0.25">
      <c r="A43" s="257"/>
      <c r="B43" s="257"/>
      <c r="C43" s="155" t="s">
        <v>200</v>
      </c>
      <c r="D43" s="158">
        <f>TRUNC((SUM(D41:D42)),2)</f>
        <v>1449.74</v>
      </c>
      <c r="E43" s="55"/>
      <c r="F43" s="55"/>
      <c r="G43" s="55"/>
    </row>
    <row r="44" spans="1:7" x14ac:dyDescent="0.25">
      <c r="A44" s="152"/>
      <c r="B44" s="132"/>
      <c r="C44" s="159"/>
      <c r="D44" s="154"/>
      <c r="E44" s="55"/>
      <c r="F44" s="55"/>
      <c r="G44" s="55"/>
    </row>
    <row r="45" spans="1:7" x14ac:dyDescent="0.25">
      <c r="A45" s="246" t="s">
        <v>66</v>
      </c>
      <c r="B45" s="246"/>
      <c r="C45" s="246"/>
      <c r="D45" s="246"/>
      <c r="E45" s="55"/>
      <c r="F45" s="55"/>
      <c r="G45" s="55"/>
    </row>
    <row r="46" spans="1:7" x14ac:dyDescent="0.25">
      <c r="A46" s="152" t="s">
        <v>67</v>
      </c>
      <c r="B46" s="132" t="s">
        <v>68</v>
      </c>
      <c r="C46" s="152" t="s">
        <v>24</v>
      </c>
      <c r="D46" s="152" t="s">
        <v>69</v>
      </c>
      <c r="E46" s="55"/>
      <c r="F46" s="55"/>
      <c r="G46" s="55"/>
    </row>
    <row r="47" spans="1:7" x14ac:dyDescent="0.25">
      <c r="A47" s="152" t="s">
        <v>28</v>
      </c>
      <c r="B47" s="132" t="s">
        <v>70</v>
      </c>
      <c r="C47" s="153">
        <v>0.2</v>
      </c>
      <c r="D47" s="154">
        <f>TRUNC(($D$43*C47),2)</f>
        <v>289.94</v>
      </c>
      <c r="E47" s="55"/>
      <c r="F47" s="55"/>
      <c r="G47" s="55"/>
    </row>
    <row r="48" spans="1:7" x14ac:dyDescent="0.25">
      <c r="A48" s="152" t="s">
        <v>31</v>
      </c>
      <c r="B48" s="132" t="s">
        <v>71</v>
      </c>
      <c r="C48" s="153">
        <v>2.5000000000000001E-2</v>
      </c>
      <c r="D48" s="154">
        <f t="shared" ref="D48:D54" si="0">TRUNC(($D$43*C48),2)</f>
        <v>36.24</v>
      </c>
      <c r="E48" s="55"/>
      <c r="F48" s="55"/>
      <c r="G48" s="55"/>
    </row>
    <row r="49" spans="1:7" x14ac:dyDescent="0.25">
      <c r="A49" s="152" t="s">
        <v>34</v>
      </c>
      <c r="B49" s="132" t="s">
        <v>201</v>
      </c>
      <c r="C49" s="274">
        <v>0</v>
      </c>
      <c r="D49" s="161">
        <f t="shared" si="0"/>
        <v>0</v>
      </c>
      <c r="E49" s="55"/>
      <c r="F49" s="55"/>
      <c r="G49" s="55"/>
    </row>
    <row r="50" spans="1:7" x14ac:dyDescent="0.25">
      <c r="A50" s="152" t="s">
        <v>36</v>
      </c>
      <c r="B50" s="132" t="s">
        <v>73</v>
      </c>
      <c r="C50" s="153">
        <v>1.4999999999999999E-2</v>
      </c>
      <c r="D50" s="154">
        <f t="shared" si="0"/>
        <v>21.74</v>
      </c>
      <c r="E50" s="55"/>
      <c r="F50" s="55"/>
      <c r="G50" s="55"/>
    </row>
    <row r="51" spans="1:7" x14ac:dyDescent="0.25">
      <c r="A51" s="152" t="s">
        <v>39</v>
      </c>
      <c r="B51" s="132" t="s">
        <v>74</v>
      </c>
      <c r="C51" s="153">
        <v>0.01</v>
      </c>
      <c r="D51" s="154">
        <f t="shared" si="0"/>
        <v>14.49</v>
      </c>
      <c r="E51" s="55"/>
      <c r="F51" s="55"/>
      <c r="G51" s="55"/>
    </row>
    <row r="52" spans="1:7" x14ac:dyDescent="0.25">
      <c r="A52" s="152" t="s">
        <v>41</v>
      </c>
      <c r="B52" s="132" t="s">
        <v>75</v>
      </c>
      <c r="C52" s="153">
        <v>6.0000000000000001E-3</v>
      </c>
      <c r="D52" s="154">
        <f t="shared" si="0"/>
        <v>8.69</v>
      </c>
      <c r="E52" s="55"/>
      <c r="F52" s="55"/>
      <c r="G52" s="55"/>
    </row>
    <row r="53" spans="1:7" x14ac:dyDescent="0.25">
      <c r="A53" s="152" t="s">
        <v>76</v>
      </c>
      <c r="B53" s="132" t="s">
        <v>77</v>
      </c>
      <c r="C53" s="153">
        <v>2E-3</v>
      </c>
      <c r="D53" s="154">
        <f t="shared" si="0"/>
        <v>2.89</v>
      </c>
      <c r="E53" s="55"/>
      <c r="F53" s="55"/>
      <c r="G53" s="55"/>
    </row>
    <row r="54" spans="1:7" x14ac:dyDescent="0.25">
      <c r="A54" s="152" t="s">
        <v>78</v>
      </c>
      <c r="B54" s="132" t="s">
        <v>79</v>
      </c>
      <c r="C54" s="153">
        <v>0.08</v>
      </c>
      <c r="D54" s="154">
        <f t="shared" si="0"/>
        <v>115.97</v>
      </c>
      <c r="E54" s="55"/>
      <c r="F54" s="55"/>
      <c r="G54" s="55"/>
    </row>
    <row r="55" spans="1:7" x14ac:dyDescent="0.25">
      <c r="A55" s="152" t="s">
        <v>44</v>
      </c>
      <c r="B55" s="132"/>
      <c r="C55" s="159">
        <f>SUM(C47:C54)</f>
        <v>0.33800000000000002</v>
      </c>
      <c r="D55" s="154">
        <f>TRUNC(SUM(D47:D54),2)</f>
        <v>489.96</v>
      </c>
      <c r="E55" s="55"/>
      <c r="F55" s="55"/>
      <c r="G55" s="55"/>
    </row>
    <row r="56" spans="1:7" x14ac:dyDescent="0.25">
      <c r="A56" s="58"/>
      <c r="B56" s="55"/>
      <c r="C56" s="61"/>
      <c r="D56" s="60"/>
      <c r="E56" s="55"/>
      <c r="F56" s="55"/>
      <c r="G56" s="55"/>
    </row>
    <row r="57" spans="1:7" x14ac:dyDescent="0.25">
      <c r="A57" s="246" t="s">
        <v>84</v>
      </c>
      <c r="B57" s="246"/>
      <c r="C57" s="246"/>
      <c r="D57" s="246"/>
      <c r="E57" s="55"/>
      <c r="F57" s="55"/>
      <c r="G57" s="55"/>
    </row>
    <row r="58" spans="1:7" x14ac:dyDescent="0.25">
      <c r="A58" s="152" t="s">
        <v>85</v>
      </c>
      <c r="B58" s="132" t="s">
        <v>86</v>
      </c>
      <c r="C58" s="152" t="s">
        <v>4</v>
      </c>
      <c r="D58" s="152" t="s">
        <v>5</v>
      </c>
      <c r="E58" s="55"/>
      <c r="F58" s="55"/>
      <c r="G58" s="55"/>
    </row>
    <row r="59" spans="1:7" x14ac:dyDescent="0.25">
      <c r="A59" s="152" t="s">
        <v>28</v>
      </c>
      <c r="B59" s="132" t="s">
        <v>87</v>
      </c>
      <c r="C59" s="133"/>
      <c r="D59" s="161">
        <v>0</v>
      </c>
      <c r="E59" s="55"/>
      <c r="F59" s="55"/>
      <c r="G59" s="55"/>
    </row>
    <row r="60" spans="1:7" x14ac:dyDescent="0.25">
      <c r="A60" s="152" t="s">
        <v>31</v>
      </c>
      <c r="B60" s="132" t="s">
        <v>88</v>
      </c>
      <c r="C60" s="133" t="str">
        <f>C9</f>
        <v>CCT PB000517/2021</v>
      </c>
      <c r="D60" s="161">
        <f>TRUNC((((460))-(((460))*0.2)),2)</f>
        <v>368</v>
      </c>
      <c r="E60" s="55"/>
      <c r="F60" s="55"/>
      <c r="G60" s="55"/>
    </row>
    <row r="61" spans="1:7" x14ac:dyDescent="0.25">
      <c r="A61" s="152" t="s">
        <v>34</v>
      </c>
      <c r="B61" s="132" t="s">
        <v>202</v>
      </c>
      <c r="C61" s="133"/>
      <c r="D61" s="161">
        <v>0</v>
      </c>
      <c r="E61" s="55"/>
      <c r="F61" s="55"/>
      <c r="G61" s="55"/>
    </row>
    <row r="62" spans="1:7" x14ac:dyDescent="0.25">
      <c r="A62" s="166" t="s">
        <v>36</v>
      </c>
      <c r="B62" s="167" t="s">
        <v>203</v>
      </c>
      <c r="C62" s="168"/>
      <c r="D62" s="168">
        <v>0</v>
      </c>
      <c r="E62" s="55"/>
      <c r="F62" s="62"/>
      <c r="G62" s="55"/>
    </row>
    <row r="63" spans="1:7" x14ac:dyDescent="0.25">
      <c r="A63" s="166" t="s">
        <v>39</v>
      </c>
      <c r="B63" s="132" t="s">
        <v>92</v>
      </c>
      <c r="C63" s="133" t="s">
        <v>204</v>
      </c>
      <c r="D63" s="161">
        <v>20</v>
      </c>
      <c r="E63" s="55"/>
      <c r="F63" s="55"/>
      <c r="G63" s="55"/>
    </row>
    <row r="64" spans="1:7" x14ac:dyDescent="0.25">
      <c r="A64" s="166" t="s">
        <v>41</v>
      </c>
      <c r="B64" s="169" t="s">
        <v>205</v>
      </c>
      <c r="C64" s="133" t="s">
        <v>204</v>
      </c>
      <c r="D64" s="161">
        <v>5</v>
      </c>
      <c r="E64" s="55"/>
      <c r="F64" s="55"/>
      <c r="G64" s="55"/>
    </row>
    <row r="65" spans="1:7" x14ac:dyDescent="0.25">
      <c r="A65" s="166" t="s">
        <v>76</v>
      </c>
      <c r="B65" s="169" t="s">
        <v>206</v>
      </c>
      <c r="C65" s="168" t="s">
        <v>204</v>
      </c>
      <c r="D65" s="161">
        <v>40</v>
      </c>
      <c r="E65" s="55"/>
      <c r="F65" s="55"/>
      <c r="G65" s="55"/>
    </row>
    <row r="66" spans="1:7" x14ac:dyDescent="0.25">
      <c r="A66" s="152" t="s">
        <v>44</v>
      </c>
      <c r="B66" s="132"/>
      <c r="C66" s="132"/>
      <c r="D66" s="154">
        <f>TRUNC((SUM(D59:D65)),2)</f>
        <v>433</v>
      </c>
      <c r="E66" s="55"/>
      <c r="F66" s="55"/>
      <c r="G66" s="55"/>
    </row>
    <row r="67" spans="1:7" x14ac:dyDescent="0.25">
      <c r="A67" s="58"/>
      <c r="B67" s="55"/>
      <c r="C67" s="55"/>
      <c r="D67" s="60"/>
      <c r="E67" s="55"/>
      <c r="F67" s="55"/>
      <c r="G67" s="55"/>
    </row>
    <row r="68" spans="1:7" x14ac:dyDescent="0.25">
      <c r="A68" s="246" t="s">
        <v>98</v>
      </c>
      <c r="B68" s="246"/>
      <c r="C68" s="246"/>
      <c r="D68" s="246"/>
      <c r="E68" s="55"/>
      <c r="F68" s="55"/>
      <c r="G68" s="55"/>
    </row>
    <row r="69" spans="1:7" x14ac:dyDescent="0.25">
      <c r="A69" s="152" t="s">
        <v>99</v>
      </c>
      <c r="B69" s="132" t="s">
        <v>100</v>
      </c>
      <c r="C69" s="152" t="s">
        <v>4</v>
      </c>
      <c r="D69" s="152" t="s">
        <v>5</v>
      </c>
      <c r="E69" s="55"/>
      <c r="F69" s="55"/>
      <c r="G69" s="55"/>
    </row>
    <row r="70" spans="1:7" x14ac:dyDescent="0.25">
      <c r="A70" s="152" t="s">
        <v>51</v>
      </c>
      <c r="B70" s="132" t="s">
        <v>195</v>
      </c>
      <c r="C70" s="152"/>
      <c r="D70" s="154">
        <f>D39</f>
        <v>236</v>
      </c>
      <c r="E70" s="55"/>
      <c r="F70" s="55"/>
      <c r="G70" s="55"/>
    </row>
    <row r="71" spans="1:7" x14ac:dyDescent="0.25">
      <c r="A71" s="152" t="s">
        <v>67</v>
      </c>
      <c r="B71" s="132" t="s">
        <v>68</v>
      </c>
      <c r="C71" s="152"/>
      <c r="D71" s="154">
        <f>D55</f>
        <v>489.96</v>
      </c>
      <c r="E71" s="55"/>
      <c r="F71" s="55"/>
      <c r="G71" s="55"/>
    </row>
    <row r="72" spans="1:7" x14ac:dyDescent="0.25">
      <c r="A72" s="152" t="s">
        <v>85</v>
      </c>
      <c r="B72" s="132" t="s">
        <v>86</v>
      </c>
      <c r="C72" s="152"/>
      <c r="D72" s="154">
        <f>D66</f>
        <v>433</v>
      </c>
      <c r="E72" s="55"/>
      <c r="F72" s="55"/>
      <c r="G72" s="55"/>
    </row>
    <row r="73" spans="1:7" x14ac:dyDescent="0.25">
      <c r="A73" s="152" t="s">
        <v>44</v>
      </c>
      <c r="B73" s="132"/>
      <c r="C73" s="152"/>
      <c r="D73" s="154">
        <f>TRUNC((SUM(D70:D72)),2)</f>
        <v>1158.96</v>
      </c>
      <c r="E73" s="55"/>
      <c r="F73" s="55"/>
      <c r="G73" s="55"/>
    </row>
    <row r="74" spans="1:7" x14ac:dyDescent="0.25">
      <c r="A74" s="55"/>
      <c r="B74" s="55"/>
      <c r="C74" s="55"/>
      <c r="D74" s="55"/>
      <c r="E74" s="55"/>
      <c r="F74" s="55"/>
      <c r="G74" s="55"/>
    </row>
    <row r="75" spans="1:7" x14ac:dyDescent="0.25">
      <c r="A75" s="246" t="s">
        <v>101</v>
      </c>
      <c r="B75" s="246"/>
      <c r="C75" s="246"/>
      <c r="D75" s="246"/>
      <c r="E75" s="55"/>
      <c r="F75" s="55"/>
      <c r="G75" s="55"/>
    </row>
    <row r="76" spans="1:7" x14ac:dyDescent="0.25">
      <c r="A76" s="152" t="s">
        <v>102</v>
      </c>
      <c r="B76" s="132" t="s">
        <v>103</v>
      </c>
      <c r="C76" s="152" t="s">
        <v>24</v>
      </c>
      <c r="D76" s="152" t="s">
        <v>5</v>
      </c>
      <c r="E76" s="55"/>
      <c r="F76" s="55"/>
      <c r="G76" s="55"/>
    </row>
    <row r="77" spans="1:7" x14ac:dyDescent="0.25">
      <c r="A77" s="152" t="s">
        <v>28</v>
      </c>
      <c r="B77" s="132" t="s">
        <v>104</v>
      </c>
      <c r="C77" s="160">
        <f>((1/12)*2%)</f>
        <v>1.6666666666666666E-3</v>
      </c>
      <c r="D77" s="161">
        <f>TRUNC(($D$31*C77),2)</f>
        <v>2.02</v>
      </c>
      <c r="E77" s="55"/>
      <c r="F77" s="55"/>
      <c r="G77" s="55"/>
    </row>
    <row r="78" spans="1:7" x14ac:dyDescent="0.25">
      <c r="A78" s="152" t="s">
        <v>31</v>
      </c>
      <c r="B78" s="132" t="s">
        <v>105</v>
      </c>
      <c r="C78" s="170">
        <v>0.08</v>
      </c>
      <c r="D78" s="154">
        <f>TRUNC(($D$77*C78),2)</f>
        <v>0.16</v>
      </c>
      <c r="E78" s="55"/>
      <c r="F78" s="55"/>
      <c r="G78" s="55"/>
    </row>
    <row r="79" spans="1:7" ht="30" x14ac:dyDescent="0.25">
      <c r="A79" s="152" t="s">
        <v>34</v>
      </c>
      <c r="B79" s="171" t="s">
        <v>106</v>
      </c>
      <c r="C79" s="172">
        <f>(0.08*0.4*0.02)</f>
        <v>6.4000000000000005E-4</v>
      </c>
      <c r="D79" s="168">
        <f t="shared" ref="D79:D80" si="1">TRUNC(($D$31*C79),2)</f>
        <v>0.77</v>
      </c>
      <c r="E79" s="55"/>
      <c r="F79" s="55"/>
      <c r="G79" s="55"/>
    </row>
    <row r="80" spans="1:7" x14ac:dyDescent="0.25">
      <c r="A80" s="152" t="s">
        <v>36</v>
      </c>
      <c r="B80" s="132" t="s">
        <v>107</v>
      </c>
      <c r="C80" s="173">
        <f>(((7/30)/12)*0.98)</f>
        <v>1.9055555555555555E-2</v>
      </c>
      <c r="D80" s="174">
        <f t="shared" si="1"/>
        <v>23.12</v>
      </c>
      <c r="E80" s="55"/>
      <c r="F80" s="55"/>
      <c r="G80" s="55"/>
    </row>
    <row r="81" spans="1:7" ht="30" x14ac:dyDescent="0.25">
      <c r="A81" s="152" t="s">
        <v>39</v>
      </c>
      <c r="B81" s="171" t="s">
        <v>207</v>
      </c>
      <c r="C81" s="172">
        <f>C55</f>
        <v>0.33800000000000002</v>
      </c>
      <c r="D81" s="168">
        <f>TRUNC(($D$80*C81),2)</f>
        <v>7.81</v>
      </c>
      <c r="E81" s="55"/>
      <c r="F81" s="55"/>
      <c r="G81" s="55"/>
    </row>
    <row r="82" spans="1:7" ht="30" x14ac:dyDescent="0.25">
      <c r="A82" s="152" t="s">
        <v>41</v>
      </c>
      <c r="B82" s="171" t="s">
        <v>108</v>
      </c>
      <c r="C82" s="173">
        <f>(0.08*0.4*0.98)</f>
        <v>3.1359999999999999E-2</v>
      </c>
      <c r="D82" s="175">
        <f>TRUNC(($D$31*C82),2)</f>
        <v>38.06</v>
      </c>
      <c r="E82" s="55"/>
      <c r="F82" s="55"/>
      <c r="G82" s="55"/>
    </row>
    <row r="83" spans="1:7" x14ac:dyDescent="0.25">
      <c r="A83" s="152" t="s">
        <v>44</v>
      </c>
      <c r="B83" s="132"/>
      <c r="C83" s="170">
        <f>SUM(C77:C82)</f>
        <v>0.47072222222222221</v>
      </c>
      <c r="D83" s="154">
        <f>TRUNC((SUM(D77:D82)),2)</f>
        <v>71.94</v>
      </c>
      <c r="E83" s="55"/>
      <c r="F83" s="55"/>
      <c r="G83" s="55"/>
    </row>
    <row r="84" spans="1:7" x14ac:dyDescent="0.25">
      <c r="A84" s="58"/>
      <c r="B84" s="55"/>
      <c r="C84" s="55"/>
      <c r="D84" s="60"/>
      <c r="E84" s="55"/>
      <c r="F84" s="55"/>
      <c r="G84" s="55"/>
    </row>
    <row r="85" spans="1:7" x14ac:dyDescent="0.25">
      <c r="A85" s="257" t="s">
        <v>208</v>
      </c>
      <c r="B85" s="257"/>
      <c r="C85" s="155" t="s">
        <v>198</v>
      </c>
      <c r="D85" s="156">
        <f>D31</f>
        <v>1213.74</v>
      </c>
      <c r="E85" s="55"/>
      <c r="F85" s="55"/>
      <c r="G85" s="55"/>
    </row>
    <row r="86" spans="1:7" x14ac:dyDescent="0.25">
      <c r="A86" s="257"/>
      <c r="B86" s="257"/>
      <c r="C86" s="157" t="s">
        <v>209</v>
      </c>
      <c r="D86" s="156">
        <f>D73</f>
        <v>1158.96</v>
      </c>
      <c r="E86" s="55"/>
      <c r="F86" s="55"/>
      <c r="G86" s="55"/>
    </row>
    <row r="87" spans="1:7" x14ac:dyDescent="0.25">
      <c r="A87" s="257"/>
      <c r="B87" s="257"/>
      <c r="C87" s="155" t="s">
        <v>210</v>
      </c>
      <c r="D87" s="156">
        <f>D83</f>
        <v>71.94</v>
      </c>
      <c r="E87" s="55"/>
      <c r="F87" s="55"/>
      <c r="G87" s="55"/>
    </row>
    <row r="88" spans="1:7" x14ac:dyDescent="0.25">
      <c r="A88" s="257"/>
      <c r="B88" s="257"/>
      <c r="C88" s="157" t="s">
        <v>200</v>
      </c>
      <c r="D88" s="158">
        <f>TRUNC((SUM(D85:D87)),2)</f>
        <v>2444.64</v>
      </c>
      <c r="E88" s="55"/>
      <c r="F88" s="55"/>
      <c r="G88" s="55"/>
    </row>
    <row r="89" spans="1:7" x14ac:dyDescent="0.25">
      <c r="A89" s="58"/>
      <c r="B89" s="55"/>
      <c r="C89" s="55"/>
      <c r="D89" s="60"/>
      <c r="E89" s="55"/>
      <c r="F89" s="55"/>
      <c r="G89" s="55"/>
    </row>
    <row r="90" spans="1:7" x14ac:dyDescent="0.25">
      <c r="A90" s="249" t="s">
        <v>120</v>
      </c>
      <c r="B90" s="249"/>
      <c r="C90" s="249"/>
      <c r="D90" s="249"/>
      <c r="E90" s="55"/>
      <c r="F90" s="55"/>
      <c r="G90" s="55"/>
    </row>
    <row r="91" spans="1:7" x14ac:dyDescent="0.25">
      <c r="A91" s="248" t="s">
        <v>121</v>
      </c>
      <c r="B91" s="248"/>
      <c r="C91" s="248"/>
      <c r="D91" s="248"/>
      <c r="E91" s="55"/>
      <c r="F91" s="55"/>
      <c r="G91" s="55"/>
    </row>
    <row r="92" spans="1:7" x14ac:dyDescent="0.25">
      <c r="A92" s="152" t="s">
        <v>122</v>
      </c>
      <c r="B92" s="132" t="s">
        <v>123</v>
      </c>
      <c r="C92" s="152" t="s">
        <v>24</v>
      </c>
      <c r="D92" s="152" t="s">
        <v>5</v>
      </c>
      <c r="E92" s="55"/>
      <c r="F92" s="55"/>
      <c r="G92" s="55"/>
    </row>
    <row r="93" spans="1:7" x14ac:dyDescent="0.25">
      <c r="A93" s="152" t="s">
        <v>28</v>
      </c>
      <c r="B93" s="132" t="s">
        <v>211</v>
      </c>
      <c r="C93" s="170">
        <f>(((1+1/3)/12)/12)+((1/12)/12)</f>
        <v>1.6203703703703703E-2</v>
      </c>
      <c r="D93" s="154">
        <f>TRUNC(($D$88*C93),2)</f>
        <v>39.61</v>
      </c>
      <c r="E93" s="55"/>
      <c r="F93" s="55"/>
      <c r="G93" s="55"/>
    </row>
    <row r="94" spans="1:7" x14ac:dyDescent="0.25">
      <c r="A94" s="152" t="s">
        <v>31</v>
      </c>
      <c r="B94" s="132" t="s">
        <v>126</v>
      </c>
      <c r="C94" s="160">
        <f>((5/30)/12)</f>
        <v>1.3888888888888888E-2</v>
      </c>
      <c r="D94" s="168">
        <f t="shared" ref="D94:D97" si="2">TRUNC(($D$88*C94),2)</f>
        <v>33.950000000000003</v>
      </c>
      <c r="E94" s="55"/>
      <c r="F94" s="55"/>
      <c r="G94" s="55"/>
    </row>
    <row r="95" spans="1:7" x14ac:dyDescent="0.25">
      <c r="A95" s="152" t="s">
        <v>34</v>
      </c>
      <c r="B95" s="132" t="s">
        <v>127</v>
      </c>
      <c r="C95" s="160">
        <f>((5/30)/12)*0.02</f>
        <v>2.7777777777777778E-4</v>
      </c>
      <c r="D95" s="168">
        <f t="shared" si="2"/>
        <v>0.67</v>
      </c>
      <c r="E95" s="55"/>
      <c r="F95" s="55"/>
      <c r="G95" s="55"/>
    </row>
    <row r="96" spans="1:7" ht="30" x14ac:dyDescent="0.25">
      <c r="A96" s="166" t="s">
        <v>36</v>
      </c>
      <c r="B96" s="171" t="s">
        <v>128</v>
      </c>
      <c r="C96" s="172">
        <f>((15/30)/12)*0.08</f>
        <v>3.3333333333333331E-3</v>
      </c>
      <c r="D96" s="168">
        <f t="shared" si="2"/>
        <v>8.14</v>
      </c>
      <c r="E96" s="55"/>
      <c r="F96" s="55"/>
      <c r="G96" s="55"/>
    </row>
    <row r="97" spans="1:7" x14ac:dyDescent="0.25">
      <c r="A97" s="152" t="s">
        <v>39</v>
      </c>
      <c r="B97" s="132" t="s">
        <v>129</v>
      </c>
      <c r="C97" s="160">
        <f>((1+1/3)/12)*0.03*((4/12))</f>
        <v>1.1111111111111109E-3</v>
      </c>
      <c r="D97" s="168">
        <f t="shared" si="2"/>
        <v>2.71</v>
      </c>
      <c r="E97" s="55"/>
      <c r="F97" s="55"/>
      <c r="G97" s="55"/>
    </row>
    <row r="98" spans="1:7" x14ac:dyDescent="0.25">
      <c r="A98" s="152" t="s">
        <v>41</v>
      </c>
      <c r="B98" s="171" t="s">
        <v>212</v>
      </c>
      <c r="C98" s="176">
        <v>0</v>
      </c>
      <c r="D98" s="168">
        <f>TRUNC($D$88*C98)</f>
        <v>0</v>
      </c>
      <c r="E98" s="55"/>
      <c r="F98" s="55"/>
      <c r="G98" s="55"/>
    </row>
    <row r="99" spans="1:7" x14ac:dyDescent="0.25">
      <c r="A99" s="152" t="s">
        <v>44</v>
      </c>
      <c r="B99" s="132"/>
      <c r="C99" s="170">
        <f>SUM(C93:C98)</f>
        <v>3.4814814814814812E-2</v>
      </c>
      <c r="D99" s="154">
        <f>TRUNC((SUM(D93:D98)),2)</f>
        <v>85.08</v>
      </c>
      <c r="E99" s="55"/>
      <c r="F99" s="55"/>
      <c r="G99" s="55"/>
    </row>
    <row r="100" spans="1:7" x14ac:dyDescent="0.25">
      <c r="A100" s="58"/>
      <c r="B100" s="55"/>
      <c r="C100" s="58"/>
      <c r="D100" s="60"/>
      <c r="E100" s="55"/>
      <c r="F100" s="55"/>
      <c r="G100" s="55"/>
    </row>
    <row r="101" spans="1:7" x14ac:dyDescent="0.25">
      <c r="A101" s="246" t="s">
        <v>140</v>
      </c>
      <c r="B101" s="246"/>
      <c r="C101" s="246"/>
      <c r="D101" s="246"/>
      <c r="E101" s="55"/>
      <c r="F101" s="55"/>
      <c r="G101" s="55"/>
    </row>
    <row r="102" spans="1:7" x14ac:dyDescent="0.25">
      <c r="A102" s="152" t="s">
        <v>141</v>
      </c>
      <c r="B102" s="132" t="s">
        <v>142</v>
      </c>
      <c r="C102" s="152" t="s">
        <v>4</v>
      </c>
      <c r="D102" s="152" t="s">
        <v>5</v>
      </c>
      <c r="E102" s="55"/>
      <c r="F102" s="55"/>
      <c r="G102" s="55"/>
    </row>
    <row r="103" spans="1:7" ht="135" x14ac:dyDescent="0.25">
      <c r="A103" s="166" t="s">
        <v>28</v>
      </c>
      <c r="B103" s="177" t="s">
        <v>143</v>
      </c>
      <c r="C103" s="178" t="s">
        <v>213</v>
      </c>
      <c r="D103" s="179" t="s">
        <v>214</v>
      </c>
      <c r="E103" s="55"/>
      <c r="F103" s="55"/>
      <c r="G103" s="55"/>
    </row>
    <row r="104" spans="1:7" x14ac:dyDescent="0.25">
      <c r="A104" s="152" t="s">
        <v>44</v>
      </c>
      <c r="B104" s="132"/>
      <c r="C104" s="180"/>
      <c r="D104" s="181" t="str">
        <f>D103</f>
        <v>*=TRUNCAR(($D$86/220)*(1*(365/12))/2)</v>
      </c>
      <c r="E104" s="55"/>
      <c r="F104" s="55"/>
      <c r="G104" s="55"/>
    </row>
    <row r="105" spans="1:7" x14ac:dyDescent="0.25">
      <c r="A105" s="55"/>
      <c r="B105" s="55"/>
      <c r="C105" s="55"/>
      <c r="D105" s="55"/>
      <c r="E105" s="55"/>
      <c r="F105" s="55"/>
      <c r="G105" s="55"/>
    </row>
    <row r="106" spans="1:7" x14ac:dyDescent="0.25">
      <c r="A106" s="246" t="s">
        <v>144</v>
      </c>
      <c r="B106" s="246"/>
      <c r="C106" s="246"/>
      <c r="D106" s="246"/>
      <c r="E106" s="55"/>
      <c r="F106" s="55"/>
      <c r="G106" s="55"/>
    </row>
    <row r="107" spans="1:7" x14ac:dyDescent="0.25">
      <c r="A107" s="152" t="s">
        <v>145</v>
      </c>
      <c r="B107" s="132" t="s">
        <v>146</v>
      </c>
      <c r="C107" s="152" t="s">
        <v>4</v>
      </c>
      <c r="D107" s="152" t="s">
        <v>5</v>
      </c>
      <c r="E107" s="55"/>
      <c r="F107" s="55"/>
      <c r="G107" s="55"/>
    </row>
    <row r="108" spans="1:7" x14ac:dyDescent="0.25">
      <c r="A108" s="152" t="s">
        <v>122</v>
      </c>
      <c r="B108" s="132" t="s">
        <v>123</v>
      </c>
      <c r="C108" s="132"/>
      <c r="D108" s="161">
        <f>D99</f>
        <v>85.08</v>
      </c>
      <c r="E108" s="55"/>
      <c r="F108" s="55"/>
      <c r="G108" s="55"/>
    </row>
    <row r="109" spans="1:7" x14ac:dyDescent="0.25">
      <c r="A109" s="152" t="s">
        <v>141</v>
      </c>
      <c r="B109" s="132" t="s">
        <v>147</v>
      </c>
      <c r="C109" s="132"/>
      <c r="D109" s="182"/>
      <c r="E109" s="55"/>
      <c r="F109" s="55"/>
      <c r="G109" s="55"/>
    </row>
    <row r="110" spans="1:7" ht="90" x14ac:dyDescent="0.25">
      <c r="A110" s="166" t="s">
        <v>44</v>
      </c>
      <c r="B110" s="167"/>
      <c r="C110" s="178" t="s">
        <v>215</v>
      </c>
      <c r="D110" s="183">
        <f>TRUNC((SUM(D108:D109)),2)</f>
        <v>85.08</v>
      </c>
      <c r="E110" s="55"/>
      <c r="F110" s="55"/>
      <c r="G110" s="55"/>
    </row>
    <row r="111" spans="1:7" x14ac:dyDescent="0.25">
      <c r="A111" s="55"/>
      <c r="B111" s="55"/>
      <c r="C111" s="55"/>
      <c r="D111" s="55"/>
      <c r="E111" s="55"/>
      <c r="F111" s="55"/>
      <c r="G111" s="55"/>
    </row>
    <row r="112" spans="1:7" x14ac:dyDescent="0.25">
      <c r="A112" s="246" t="s">
        <v>148</v>
      </c>
      <c r="B112" s="246"/>
      <c r="C112" s="246"/>
      <c r="D112" s="246"/>
      <c r="E112" s="55"/>
      <c r="F112" s="55"/>
      <c r="G112" s="55"/>
    </row>
    <row r="113" spans="1:7" x14ac:dyDescent="0.25">
      <c r="A113" s="166" t="s">
        <v>149</v>
      </c>
      <c r="B113" s="167" t="s">
        <v>150</v>
      </c>
      <c r="C113" s="166" t="s">
        <v>4</v>
      </c>
      <c r="D113" s="166" t="s">
        <v>5</v>
      </c>
      <c r="E113" s="55"/>
      <c r="F113" s="55"/>
      <c r="G113" s="55"/>
    </row>
    <row r="114" spans="1:7" x14ac:dyDescent="0.25">
      <c r="A114" s="152" t="s">
        <v>28</v>
      </c>
      <c r="B114" s="132" t="s">
        <v>216</v>
      </c>
      <c r="C114" s="132"/>
      <c r="D114" s="184">
        <f>'Uniformes EPI'!F14</f>
        <v>0</v>
      </c>
      <c r="E114" s="55"/>
      <c r="F114" s="55"/>
      <c r="G114" s="55"/>
    </row>
    <row r="115" spans="1:7" x14ac:dyDescent="0.25">
      <c r="A115" s="152" t="s">
        <v>31</v>
      </c>
      <c r="B115" s="132" t="s">
        <v>217</v>
      </c>
      <c r="C115" s="132"/>
      <c r="D115" s="184">
        <v>0</v>
      </c>
      <c r="E115" s="55"/>
      <c r="F115" s="55"/>
      <c r="G115" s="55"/>
    </row>
    <row r="116" spans="1:7" x14ac:dyDescent="0.25">
      <c r="A116" s="152" t="s">
        <v>34</v>
      </c>
      <c r="B116" s="132" t="s">
        <v>152</v>
      </c>
      <c r="C116" s="132"/>
      <c r="D116" s="184">
        <f>Materiais!F85</f>
        <v>0</v>
      </c>
      <c r="E116" s="55"/>
      <c r="F116" s="55"/>
      <c r="G116" s="55"/>
    </row>
    <row r="117" spans="1:7" x14ac:dyDescent="0.25">
      <c r="A117" s="152" t="s">
        <v>36</v>
      </c>
      <c r="B117" s="132" t="s">
        <v>153</v>
      </c>
      <c r="C117" s="132"/>
      <c r="D117" s="184">
        <f>Equipamentos!F11</f>
        <v>0</v>
      </c>
      <c r="E117" s="55"/>
      <c r="F117" s="55"/>
      <c r="G117" s="55"/>
    </row>
    <row r="118" spans="1:7" x14ac:dyDescent="0.25">
      <c r="A118" s="152" t="s">
        <v>39</v>
      </c>
      <c r="B118" s="132" t="s">
        <v>233</v>
      </c>
      <c r="C118" s="152"/>
      <c r="D118" s="184">
        <v>0</v>
      </c>
      <c r="E118" s="55"/>
      <c r="F118" s="55"/>
      <c r="G118" s="55"/>
    </row>
    <row r="119" spans="1:7" x14ac:dyDescent="0.25">
      <c r="A119" s="152" t="s">
        <v>44</v>
      </c>
      <c r="B119" s="132"/>
      <c r="C119" s="132"/>
      <c r="D119" s="185">
        <f>TRUNC(SUM(D114:D118),2)</f>
        <v>0</v>
      </c>
      <c r="E119" s="55"/>
      <c r="F119" s="55"/>
      <c r="G119" s="55"/>
    </row>
    <row r="120" spans="1:7" x14ac:dyDescent="0.25">
      <c r="A120" s="55"/>
      <c r="B120" s="55"/>
      <c r="C120" s="55"/>
      <c r="D120" s="55"/>
      <c r="E120" s="55"/>
      <c r="F120" s="55"/>
      <c r="G120" s="55"/>
    </row>
    <row r="121" spans="1:7" x14ac:dyDescent="0.25">
      <c r="A121" s="257" t="s">
        <v>219</v>
      </c>
      <c r="B121" s="257"/>
      <c r="C121" s="155" t="s">
        <v>198</v>
      </c>
      <c r="D121" s="156">
        <f>D31</f>
        <v>1213.74</v>
      </c>
      <c r="E121" s="55"/>
      <c r="F121" s="55"/>
      <c r="G121" s="55"/>
    </row>
    <row r="122" spans="1:7" x14ac:dyDescent="0.25">
      <c r="A122" s="257"/>
      <c r="B122" s="257"/>
      <c r="C122" s="157" t="s">
        <v>209</v>
      </c>
      <c r="D122" s="156">
        <f>D73</f>
        <v>1158.96</v>
      </c>
      <c r="E122" s="55"/>
      <c r="F122" s="55"/>
      <c r="G122" s="55"/>
    </row>
    <row r="123" spans="1:7" x14ac:dyDescent="0.25">
      <c r="A123" s="257"/>
      <c r="B123" s="257"/>
      <c r="C123" s="155" t="s">
        <v>210</v>
      </c>
      <c r="D123" s="156">
        <f>D83</f>
        <v>71.94</v>
      </c>
      <c r="E123" s="55"/>
      <c r="F123" s="55"/>
      <c r="G123" s="55"/>
    </row>
    <row r="124" spans="1:7" x14ac:dyDescent="0.25">
      <c r="A124" s="257"/>
      <c r="B124" s="257"/>
      <c r="C124" s="157" t="s">
        <v>220</v>
      </c>
      <c r="D124" s="156">
        <f>D110</f>
        <v>85.08</v>
      </c>
      <c r="E124" s="55"/>
      <c r="F124" s="55"/>
      <c r="G124" s="55"/>
    </row>
    <row r="125" spans="1:7" x14ac:dyDescent="0.25">
      <c r="A125" s="257"/>
      <c r="B125" s="257"/>
      <c r="C125" s="155" t="s">
        <v>221</v>
      </c>
      <c r="D125" s="156">
        <f>D119</f>
        <v>0</v>
      </c>
      <c r="E125" s="55"/>
      <c r="F125" s="55"/>
      <c r="G125" s="55"/>
    </row>
    <row r="126" spans="1:7" x14ac:dyDescent="0.25">
      <c r="A126" s="257"/>
      <c r="B126" s="257"/>
      <c r="C126" s="157" t="s">
        <v>200</v>
      </c>
      <c r="D126" s="158">
        <f>TRUNC((SUM(D121:D125)),2)</f>
        <v>2529.7199999999998</v>
      </c>
      <c r="E126" s="55"/>
      <c r="F126" s="55"/>
      <c r="G126" s="55"/>
    </row>
    <row r="127" spans="1:7" x14ac:dyDescent="0.25">
      <c r="A127" s="55"/>
      <c r="B127" s="55"/>
      <c r="C127" s="55"/>
      <c r="D127" s="55"/>
      <c r="E127" s="55"/>
      <c r="F127" s="55"/>
      <c r="G127" s="55"/>
    </row>
    <row r="128" spans="1:7" x14ac:dyDescent="0.25">
      <c r="A128" s="246" t="s">
        <v>160</v>
      </c>
      <c r="B128" s="246"/>
      <c r="C128" s="246"/>
      <c r="D128" s="246"/>
      <c r="E128" s="55"/>
      <c r="F128" s="55"/>
      <c r="G128" s="55"/>
    </row>
    <row r="129" spans="1:7" x14ac:dyDescent="0.25">
      <c r="A129" s="152" t="s">
        <v>161</v>
      </c>
      <c r="B129" s="132" t="s">
        <v>162</v>
      </c>
      <c r="C129" s="152" t="s">
        <v>24</v>
      </c>
      <c r="D129" s="152" t="s">
        <v>5</v>
      </c>
      <c r="E129" s="55"/>
      <c r="F129" s="257" t="s">
        <v>222</v>
      </c>
      <c r="G129" s="257"/>
    </row>
    <row r="130" spans="1:7" x14ac:dyDescent="0.25">
      <c r="A130" s="152" t="s">
        <v>28</v>
      </c>
      <c r="B130" s="132" t="s">
        <v>163</v>
      </c>
      <c r="C130" s="217">
        <v>0</v>
      </c>
      <c r="D130" s="184">
        <f>TRUNC(($D$126*C130),2)</f>
        <v>0</v>
      </c>
      <c r="E130" s="55"/>
      <c r="F130" s="191" t="s">
        <v>223</v>
      </c>
      <c r="G130" s="275">
        <f>C132</f>
        <v>8.6499999999999994E-2</v>
      </c>
    </row>
    <row r="131" spans="1:7" x14ac:dyDescent="0.25">
      <c r="A131" s="152" t="s">
        <v>31</v>
      </c>
      <c r="B131" s="132" t="s">
        <v>45</v>
      </c>
      <c r="C131" s="217">
        <v>0</v>
      </c>
      <c r="D131" s="184">
        <f>TRUNC((C131*(D126+D130)),2)</f>
        <v>0</v>
      </c>
      <c r="E131" s="55"/>
      <c r="F131" s="192" t="s">
        <v>224</v>
      </c>
      <c r="G131" s="193">
        <f>TRUNC(SUM(D126,D130,D131),2)</f>
        <v>2529.7199999999998</v>
      </c>
    </row>
    <row r="132" spans="1:7" x14ac:dyDescent="0.25">
      <c r="A132" s="152" t="s">
        <v>34</v>
      </c>
      <c r="B132" s="132" t="s">
        <v>164</v>
      </c>
      <c r="C132" s="274">
        <f>SUM(C133:C135)</f>
        <v>8.6499999999999994E-2</v>
      </c>
      <c r="D132" s="161">
        <f>SUM(D133:D135)</f>
        <v>234.42</v>
      </c>
      <c r="E132" s="55"/>
      <c r="F132" s="191" t="s">
        <v>225</v>
      </c>
      <c r="G132" s="194">
        <f>(100-6.66)/100</f>
        <v>0.93340000000000001</v>
      </c>
    </row>
    <row r="133" spans="1:7" x14ac:dyDescent="0.25">
      <c r="A133" s="152"/>
      <c r="B133" s="132" t="s">
        <v>226</v>
      </c>
      <c r="C133" s="274">
        <v>6.4999999999999997E-3</v>
      </c>
      <c r="D133" s="161">
        <f t="shared" ref="D133:D135" si="3">TRUNC(($G$133*C133),2)</f>
        <v>17.61</v>
      </c>
      <c r="E133" s="55"/>
      <c r="F133" s="192" t="s">
        <v>222</v>
      </c>
      <c r="G133" s="193">
        <f>TRUNC((G131/G132),2)</f>
        <v>2710.22</v>
      </c>
    </row>
    <row r="134" spans="1:7" x14ac:dyDescent="0.25">
      <c r="A134" s="152"/>
      <c r="B134" s="132" t="s">
        <v>227</v>
      </c>
      <c r="C134" s="274">
        <v>0.03</v>
      </c>
      <c r="D134" s="161">
        <f t="shared" si="3"/>
        <v>81.3</v>
      </c>
      <c r="E134" s="55"/>
      <c r="F134" s="55"/>
      <c r="G134" s="55"/>
    </row>
    <row r="135" spans="1:7" x14ac:dyDescent="0.25">
      <c r="A135" s="152"/>
      <c r="B135" s="132" t="s">
        <v>228</v>
      </c>
      <c r="C135" s="274">
        <v>0.05</v>
      </c>
      <c r="D135" s="161">
        <f t="shared" si="3"/>
        <v>135.51</v>
      </c>
      <c r="E135" s="55"/>
      <c r="F135" s="55"/>
      <c r="G135" s="55"/>
    </row>
    <row r="136" spans="1:7" x14ac:dyDescent="0.25">
      <c r="A136" s="152" t="s">
        <v>44</v>
      </c>
      <c r="B136" s="186"/>
      <c r="C136" s="152"/>
      <c r="D136" s="154">
        <f>SUM(D130:D132)</f>
        <v>234.42</v>
      </c>
      <c r="E136" s="55"/>
      <c r="F136" s="55"/>
      <c r="G136" s="55"/>
    </row>
    <row r="137" spans="1:7" x14ac:dyDescent="0.25">
      <c r="A137" s="58"/>
      <c r="B137" s="55"/>
      <c r="C137" s="63"/>
      <c r="D137" s="60"/>
      <c r="E137" s="55"/>
      <c r="F137" s="55"/>
      <c r="G137" s="55"/>
    </row>
    <row r="138" spans="1:7" x14ac:dyDescent="0.25">
      <c r="A138" s="246" t="s">
        <v>168</v>
      </c>
      <c r="B138" s="246"/>
      <c r="C138" s="246"/>
      <c r="D138" s="246"/>
      <c r="E138" s="55"/>
      <c r="F138" s="55"/>
      <c r="G138" s="55"/>
    </row>
    <row r="139" spans="1:7" x14ac:dyDescent="0.25">
      <c r="A139" s="152" t="s">
        <v>2</v>
      </c>
      <c r="B139" s="152" t="s">
        <v>169</v>
      </c>
      <c r="C139" s="152" t="s">
        <v>95</v>
      </c>
      <c r="D139" s="152" t="s">
        <v>5</v>
      </c>
      <c r="E139" s="55"/>
      <c r="F139" s="55"/>
      <c r="G139" s="55"/>
    </row>
    <row r="140" spans="1:7" x14ac:dyDescent="0.25">
      <c r="A140" s="152" t="s">
        <v>28</v>
      </c>
      <c r="B140" s="132" t="s">
        <v>22</v>
      </c>
      <c r="C140" s="132"/>
      <c r="D140" s="154">
        <f>D31</f>
        <v>1213.74</v>
      </c>
      <c r="E140" s="55"/>
      <c r="F140" s="55"/>
      <c r="G140" s="55"/>
    </row>
    <row r="141" spans="1:7" x14ac:dyDescent="0.25">
      <c r="A141" s="152" t="s">
        <v>31</v>
      </c>
      <c r="B141" s="132" t="s">
        <v>47</v>
      </c>
      <c r="C141" s="132"/>
      <c r="D141" s="154">
        <f>D73</f>
        <v>1158.96</v>
      </c>
      <c r="E141" s="55"/>
      <c r="F141" s="55"/>
      <c r="G141" s="55"/>
    </row>
    <row r="142" spans="1:7" x14ac:dyDescent="0.25">
      <c r="A142" s="152" t="s">
        <v>34</v>
      </c>
      <c r="B142" s="132" t="s">
        <v>101</v>
      </c>
      <c r="C142" s="132"/>
      <c r="D142" s="154">
        <f>D83</f>
        <v>71.94</v>
      </c>
      <c r="E142" s="55"/>
      <c r="F142" s="55"/>
      <c r="G142" s="55"/>
    </row>
    <row r="143" spans="1:7" x14ac:dyDescent="0.25">
      <c r="A143" s="152" t="s">
        <v>36</v>
      </c>
      <c r="B143" s="132" t="s">
        <v>170</v>
      </c>
      <c r="C143" s="132"/>
      <c r="D143" s="154">
        <f>D110</f>
        <v>85.08</v>
      </c>
      <c r="E143" s="55"/>
      <c r="F143" s="55"/>
      <c r="G143" s="55"/>
    </row>
    <row r="144" spans="1:7" x14ac:dyDescent="0.25">
      <c r="A144" s="152" t="s">
        <v>39</v>
      </c>
      <c r="B144" s="132" t="s">
        <v>148</v>
      </c>
      <c r="C144" s="132"/>
      <c r="D144" s="154">
        <f>D119</f>
        <v>0</v>
      </c>
      <c r="E144" s="55"/>
      <c r="F144" s="55"/>
      <c r="G144" s="55"/>
    </row>
    <row r="145" spans="1:7" x14ac:dyDescent="0.25">
      <c r="A145" s="132"/>
      <c r="B145" s="187" t="s">
        <v>171</v>
      </c>
      <c r="C145" s="132"/>
      <c r="D145" s="154">
        <f>SUM(D140:D144)</f>
        <v>2529.7199999999998</v>
      </c>
      <c r="E145" s="55"/>
      <c r="F145" s="55"/>
      <c r="G145" s="55"/>
    </row>
    <row r="146" spans="1:7" x14ac:dyDescent="0.25">
      <c r="A146" s="152" t="s">
        <v>41</v>
      </c>
      <c r="B146" s="132" t="s">
        <v>160</v>
      </c>
      <c r="C146" s="132"/>
      <c r="D146" s="154">
        <f>D136</f>
        <v>234.42</v>
      </c>
      <c r="E146" s="55"/>
      <c r="F146" s="55"/>
      <c r="G146" s="55"/>
    </row>
    <row r="147" spans="1:7" x14ac:dyDescent="0.25">
      <c r="A147" s="188"/>
      <c r="B147" s="189" t="s">
        <v>229</v>
      </c>
      <c r="C147" s="188"/>
      <c r="D147" s="190">
        <f>TRUNC((SUM(D140:D144)+D146),2)</f>
        <v>2764.14</v>
      </c>
      <c r="E147" s="55"/>
      <c r="F147" s="55"/>
      <c r="G147" s="55"/>
    </row>
  </sheetData>
  <mergeCells count="33">
    <mergeCell ref="A41:B43"/>
    <mergeCell ref="A85:B88"/>
    <mergeCell ref="A121:B126"/>
    <mergeCell ref="A101:D101"/>
    <mergeCell ref="A106:D106"/>
    <mergeCell ref="A112:D112"/>
    <mergeCell ref="A128:D128"/>
    <mergeCell ref="F129:G129"/>
    <mergeCell ref="A138:D138"/>
    <mergeCell ref="A45:D45"/>
    <mergeCell ref="A57:D57"/>
    <mergeCell ref="A68:D68"/>
    <mergeCell ref="A75:D75"/>
    <mergeCell ref="A90:D90"/>
    <mergeCell ref="A91:D91"/>
    <mergeCell ref="F15:G15"/>
    <mergeCell ref="F22:G22"/>
    <mergeCell ref="A23:D23"/>
    <mergeCell ref="F31:G31"/>
    <mergeCell ref="A33:D33"/>
    <mergeCell ref="A35:D35"/>
    <mergeCell ref="C10:D10"/>
    <mergeCell ref="A11:D11"/>
    <mergeCell ref="A12:B12"/>
    <mergeCell ref="A13:B13"/>
    <mergeCell ref="A14:B14"/>
    <mergeCell ref="A15:D15"/>
    <mergeCell ref="C9:D9"/>
    <mergeCell ref="A2:D2"/>
    <mergeCell ref="A3:D3"/>
    <mergeCell ref="A6:D6"/>
    <mergeCell ref="C7:D7"/>
    <mergeCell ref="C8:D8"/>
  </mergeCells>
  <pageMargins left="0.25" right="0.25" top="0.75" bottom="0.75" header="0.3" footer="0.3"/>
  <pageSetup paperSize="9" scale="59"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85"/>
  <sheetViews>
    <sheetView topLeftCell="A97" zoomScaleSheetLayoutView="100" workbookViewId="0">
      <selection activeCell="I5" sqref="I5"/>
    </sheetView>
  </sheetViews>
  <sheetFormatPr defaultColWidth="9" defaultRowHeight="15" x14ac:dyDescent="0.25"/>
  <cols>
    <col min="2" max="2" width="35.42578125" customWidth="1"/>
    <col min="4" max="4" width="12.85546875" customWidth="1"/>
    <col min="5" max="5" width="15.7109375" customWidth="1"/>
    <col min="6" max="6" width="16.140625" customWidth="1"/>
  </cols>
  <sheetData>
    <row r="1" spans="1:6" x14ac:dyDescent="0.25">
      <c r="A1" s="259" t="s">
        <v>311</v>
      </c>
      <c r="B1" s="259"/>
      <c r="C1" s="259"/>
      <c r="D1" s="259"/>
      <c r="E1" s="259"/>
      <c r="F1" s="259"/>
    </row>
    <row r="2" spans="1:6" x14ac:dyDescent="0.25">
      <c r="A2" s="259" t="s">
        <v>234</v>
      </c>
      <c r="B2" s="259"/>
      <c r="C2" s="259"/>
      <c r="D2" s="259"/>
      <c r="E2" s="259"/>
      <c r="F2" s="259"/>
    </row>
    <row r="3" spans="1:6" ht="51" x14ac:dyDescent="0.25">
      <c r="A3" s="54" t="s">
        <v>235</v>
      </c>
      <c r="B3" s="54" t="s">
        <v>236</v>
      </c>
      <c r="C3" s="54" t="s">
        <v>237</v>
      </c>
      <c r="D3" s="54" t="s">
        <v>238</v>
      </c>
      <c r="E3" s="54" t="s">
        <v>311</v>
      </c>
      <c r="F3" s="54" t="s">
        <v>240</v>
      </c>
    </row>
    <row r="4" spans="1:6" ht="89.25" x14ac:dyDescent="0.25">
      <c r="A4" s="199">
        <v>1</v>
      </c>
      <c r="B4" s="200" t="s">
        <v>330</v>
      </c>
      <c r="C4" s="201" t="s">
        <v>241</v>
      </c>
      <c r="D4" s="121">
        <v>0</v>
      </c>
      <c r="E4" s="202">
        <v>40</v>
      </c>
      <c r="F4" s="203">
        <f t="shared" ref="F4:F35" si="0">TRUNC((D4*E4),2)</f>
        <v>0</v>
      </c>
    </row>
    <row r="5" spans="1:6" ht="89.25" x14ac:dyDescent="0.25">
      <c r="A5" s="199">
        <v>2</v>
      </c>
      <c r="B5" s="200" t="s">
        <v>331</v>
      </c>
      <c r="C5" s="201" t="s">
        <v>313</v>
      </c>
      <c r="D5" s="121">
        <v>0</v>
      </c>
      <c r="E5" s="202">
        <v>720</v>
      </c>
      <c r="F5" s="203">
        <f t="shared" si="0"/>
        <v>0</v>
      </c>
    </row>
    <row r="6" spans="1:6" ht="216.75" x14ac:dyDescent="0.25">
      <c r="A6" s="199">
        <v>3</v>
      </c>
      <c r="B6" s="204" t="s">
        <v>332</v>
      </c>
      <c r="C6" s="201" t="s">
        <v>241</v>
      </c>
      <c r="D6" s="121">
        <v>0</v>
      </c>
      <c r="E6" s="202">
        <v>84</v>
      </c>
      <c r="F6" s="203">
        <f t="shared" si="0"/>
        <v>0</v>
      </c>
    </row>
    <row r="7" spans="1:6" ht="76.5" x14ac:dyDescent="0.25">
      <c r="A7" s="199">
        <v>4</v>
      </c>
      <c r="B7" s="200" t="s">
        <v>333</v>
      </c>
      <c r="C7" s="201" t="s">
        <v>241</v>
      </c>
      <c r="D7" s="121">
        <v>0</v>
      </c>
      <c r="E7" s="201">
        <v>60</v>
      </c>
      <c r="F7" s="203">
        <f t="shared" si="0"/>
        <v>0</v>
      </c>
    </row>
    <row r="8" spans="1:6" ht="76.5" x14ac:dyDescent="0.25">
      <c r="A8" s="199">
        <v>5</v>
      </c>
      <c r="B8" s="200" t="s">
        <v>334</v>
      </c>
      <c r="C8" s="201" t="s">
        <v>241</v>
      </c>
      <c r="D8" s="121">
        <v>0</v>
      </c>
      <c r="E8" s="201">
        <v>20</v>
      </c>
      <c r="F8" s="203">
        <f t="shared" si="0"/>
        <v>0</v>
      </c>
    </row>
    <row r="9" spans="1:6" ht="51" x14ac:dyDescent="0.25">
      <c r="A9" s="199">
        <v>6</v>
      </c>
      <c r="B9" s="200" t="s">
        <v>335</v>
      </c>
      <c r="C9" s="201" t="s">
        <v>241</v>
      </c>
      <c r="D9" s="121">
        <v>0</v>
      </c>
      <c r="E9" s="202">
        <v>40</v>
      </c>
      <c r="F9" s="203">
        <f t="shared" si="0"/>
        <v>0</v>
      </c>
    </row>
    <row r="10" spans="1:6" ht="38.25" x14ac:dyDescent="0.25">
      <c r="A10" s="199">
        <v>7</v>
      </c>
      <c r="B10" s="200" t="s">
        <v>314</v>
      </c>
      <c r="C10" s="201" t="s">
        <v>241</v>
      </c>
      <c r="D10" s="121">
        <v>0</v>
      </c>
      <c r="E10" s="201">
        <v>20</v>
      </c>
      <c r="F10" s="203">
        <f t="shared" si="0"/>
        <v>0</v>
      </c>
    </row>
    <row r="11" spans="1:6" ht="114.75" x14ac:dyDescent="0.25">
      <c r="A11" s="199">
        <v>8</v>
      </c>
      <c r="B11" s="200" t="s">
        <v>336</v>
      </c>
      <c r="C11" s="201" t="s">
        <v>241</v>
      </c>
      <c r="D11" s="121">
        <v>0</v>
      </c>
      <c r="E11" s="202">
        <v>5</v>
      </c>
      <c r="F11" s="203">
        <f t="shared" si="0"/>
        <v>0</v>
      </c>
    </row>
    <row r="12" spans="1:6" ht="140.25" x14ac:dyDescent="0.25">
      <c r="A12" s="199">
        <v>9</v>
      </c>
      <c r="B12" s="200" t="s">
        <v>337</v>
      </c>
      <c r="C12" s="201" t="s">
        <v>241</v>
      </c>
      <c r="D12" s="121">
        <v>0</v>
      </c>
      <c r="E12" s="202">
        <v>60</v>
      </c>
      <c r="F12" s="203">
        <f t="shared" si="0"/>
        <v>0</v>
      </c>
    </row>
    <row r="13" spans="1:6" ht="76.5" x14ac:dyDescent="0.25">
      <c r="A13" s="199">
        <v>10</v>
      </c>
      <c r="B13" s="200" t="s">
        <v>338</v>
      </c>
      <c r="C13" s="201" t="s">
        <v>241</v>
      </c>
      <c r="D13" s="121">
        <v>0</v>
      </c>
      <c r="E13" s="202">
        <v>180</v>
      </c>
      <c r="F13" s="203">
        <f t="shared" si="0"/>
        <v>0</v>
      </c>
    </row>
    <row r="14" spans="1:6" ht="63.75" x14ac:dyDescent="0.25">
      <c r="A14" s="199">
        <v>11</v>
      </c>
      <c r="B14" s="200" t="s">
        <v>339</v>
      </c>
      <c r="C14" s="201" t="s">
        <v>241</v>
      </c>
      <c r="D14" s="121">
        <v>0</v>
      </c>
      <c r="E14" s="202">
        <v>12</v>
      </c>
      <c r="F14" s="203">
        <f t="shared" si="0"/>
        <v>0</v>
      </c>
    </row>
    <row r="15" spans="1:6" ht="76.5" x14ac:dyDescent="0.25">
      <c r="A15" s="199">
        <v>12</v>
      </c>
      <c r="B15" s="200" t="s">
        <v>340</v>
      </c>
      <c r="C15" s="201" t="s">
        <v>241</v>
      </c>
      <c r="D15" s="121">
        <v>0</v>
      </c>
      <c r="E15" s="202">
        <v>12</v>
      </c>
      <c r="F15" s="203">
        <f t="shared" si="0"/>
        <v>0</v>
      </c>
    </row>
    <row r="16" spans="1:6" ht="216.75" x14ac:dyDescent="0.25">
      <c r="A16" s="199">
        <v>13</v>
      </c>
      <c r="B16" s="205" t="s">
        <v>341</v>
      </c>
      <c r="C16" s="201" t="s">
        <v>241</v>
      </c>
      <c r="D16" s="121">
        <v>0</v>
      </c>
      <c r="E16" s="202">
        <v>250</v>
      </c>
      <c r="F16" s="203">
        <f t="shared" si="0"/>
        <v>0</v>
      </c>
    </row>
    <row r="17" spans="1:6" ht="76.5" x14ac:dyDescent="0.25">
      <c r="A17" s="199">
        <v>14</v>
      </c>
      <c r="B17" s="200" t="s">
        <v>342</v>
      </c>
      <c r="C17" s="201" t="s">
        <v>241</v>
      </c>
      <c r="D17" s="121">
        <v>0</v>
      </c>
      <c r="E17" s="202">
        <v>432</v>
      </c>
      <c r="F17" s="203">
        <f t="shared" si="0"/>
        <v>0</v>
      </c>
    </row>
    <row r="18" spans="1:6" ht="89.25" x14ac:dyDescent="0.25">
      <c r="A18" s="199">
        <v>15</v>
      </c>
      <c r="B18" s="200" t="s">
        <v>343</v>
      </c>
      <c r="C18" s="201" t="s">
        <v>241</v>
      </c>
      <c r="D18" s="121">
        <v>0</v>
      </c>
      <c r="E18" s="202">
        <v>200</v>
      </c>
      <c r="F18" s="203">
        <f t="shared" si="0"/>
        <v>0</v>
      </c>
    </row>
    <row r="19" spans="1:6" ht="63.75" x14ac:dyDescent="0.25">
      <c r="A19" s="199">
        <v>16</v>
      </c>
      <c r="B19" s="200" t="s">
        <v>344</v>
      </c>
      <c r="C19" s="201" t="s">
        <v>241</v>
      </c>
      <c r="D19" s="121">
        <v>0</v>
      </c>
      <c r="E19" s="202">
        <v>24</v>
      </c>
      <c r="F19" s="203">
        <f t="shared" si="0"/>
        <v>0</v>
      </c>
    </row>
    <row r="20" spans="1:6" ht="89.25" x14ac:dyDescent="0.25">
      <c r="A20" s="199">
        <v>17</v>
      </c>
      <c r="B20" s="200" t="s">
        <v>345</v>
      </c>
      <c r="C20" s="201" t="s">
        <v>241</v>
      </c>
      <c r="D20" s="121">
        <v>0</v>
      </c>
      <c r="E20" s="202">
        <v>24</v>
      </c>
      <c r="F20" s="203">
        <f t="shared" si="0"/>
        <v>0</v>
      </c>
    </row>
    <row r="21" spans="1:6" ht="63.75" x14ac:dyDescent="0.25">
      <c r="A21" s="199">
        <v>18</v>
      </c>
      <c r="B21" s="200" t="s">
        <v>346</v>
      </c>
      <c r="C21" s="201" t="s">
        <v>241</v>
      </c>
      <c r="D21" s="121">
        <v>0</v>
      </c>
      <c r="E21" s="202">
        <v>24</v>
      </c>
      <c r="F21" s="203">
        <f t="shared" si="0"/>
        <v>0</v>
      </c>
    </row>
    <row r="22" spans="1:6" ht="89.25" x14ac:dyDescent="0.25">
      <c r="A22" s="199">
        <v>19</v>
      </c>
      <c r="B22" s="200" t="s">
        <v>347</v>
      </c>
      <c r="C22" s="201" t="s">
        <v>241</v>
      </c>
      <c r="D22" s="121">
        <v>0</v>
      </c>
      <c r="E22" s="202">
        <v>60</v>
      </c>
      <c r="F22" s="203">
        <f t="shared" si="0"/>
        <v>0</v>
      </c>
    </row>
    <row r="23" spans="1:6" ht="51" x14ac:dyDescent="0.25">
      <c r="A23" s="199">
        <v>20</v>
      </c>
      <c r="B23" s="200" t="s">
        <v>348</v>
      </c>
      <c r="C23" s="201" t="s">
        <v>241</v>
      </c>
      <c r="D23" s="121">
        <v>0</v>
      </c>
      <c r="E23" s="202">
        <v>6</v>
      </c>
      <c r="F23" s="203">
        <f t="shared" si="0"/>
        <v>0</v>
      </c>
    </row>
    <row r="24" spans="1:6" ht="89.25" x14ac:dyDescent="0.25">
      <c r="A24" s="199">
        <v>21</v>
      </c>
      <c r="B24" s="200" t="s">
        <v>349</v>
      </c>
      <c r="C24" s="201" t="s">
        <v>241</v>
      </c>
      <c r="D24" s="121">
        <v>0</v>
      </c>
      <c r="E24" s="202">
        <v>6</v>
      </c>
      <c r="F24" s="203">
        <f t="shared" si="0"/>
        <v>0</v>
      </c>
    </row>
    <row r="25" spans="1:6" ht="63.75" x14ac:dyDescent="0.25">
      <c r="A25" s="199">
        <v>22</v>
      </c>
      <c r="B25" s="200" t="s">
        <v>350</v>
      </c>
      <c r="C25" s="201" t="s">
        <v>241</v>
      </c>
      <c r="D25" s="121">
        <v>0</v>
      </c>
      <c r="E25" s="202">
        <v>20</v>
      </c>
      <c r="F25" s="203">
        <f t="shared" si="0"/>
        <v>0</v>
      </c>
    </row>
    <row r="26" spans="1:6" ht="63.75" x14ac:dyDescent="0.25">
      <c r="A26" s="199">
        <v>23</v>
      </c>
      <c r="B26" s="200" t="s">
        <v>351</v>
      </c>
      <c r="C26" s="201" t="s">
        <v>241</v>
      </c>
      <c r="D26" s="121">
        <v>0</v>
      </c>
      <c r="E26" s="201">
        <v>20</v>
      </c>
      <c r="F26" s="203">
        <f t="shared" si="0"/>
        <v>0</v>
      </c>
    </row>
    <row r="27" spans="1:6" ht="89.25" x14ac:dyDescent="0.25">
      <c r="A27" s="199">
        <v>24</v>
      </c>
      <c r="B27" s="200" t="s">
        <v>352</v>
      </c>
      <c r="C27" s="201" t="s">
        <v>241</v>
      </c>
      <c r="D27" s="121">
        <v>0</v>
      </c>
      <c r="E27" s="202">
        <v>60</v>
      </c>
      <c r="F27" s="203">
        <f t="shared" si="0"/>
        <v>0</v>
      </c>
    </row>
    <row r="28" spans="1:6" ht="127.5" x14ac:dyDescent="0.25">
      <c r="A28" s="199">
        <v>25</v>
      </c>
      <c r="B28" s="200" t="s">
        <v>353</v>
      </c>
      <c r="C28" s="201" t="s">
        <v>241</v>
      </c>
      <c r="D28" s="121">
        <v>0</v>
      </c>
      <c r="E28" s="202">
        <v>60</v>
      </c>
      <c r="F28" s="203">
        <f t="shared" si="0"/>
        <v>0</v>
      </c>
    </row>
    <row r="29" spans="1:6" ht="63.75" x14ac:dyDescent="0.25">
      <c r="A29" s="199">
        <v>26</v>
      </c>
      <c r="B29" s="200" t="s">
        <v>354</v>
      </c>
      <c r="C29" s="201" t="s">
        <v>241</v>
      </c>
      <c r="D29" s="121">
        <v>0</v>
      </c>
      <c r="E29" s="201">
        <v>6</v>
      </c>
      <c r="F29" s="203">
        <f t="shared" si="0"/>
        <v>0</v>
      </c>
    </row>
    <row r="30" spans="1:6" ht="38.25" x14ac:dyDescent="0.25">
      <c r="A30" s="199">
        <v>27</v>
      </c>
      <c r="B30" s="200" t="s">
        <v>355</v>
      </c>
      <c r="C30" s="201" t="s">
        <v>241</v>
      </c>
      <c r="D30" s="121">
        <v>0</v>
      </c>
      <c r="E30" s="202">
        <v>400</v>
      </c>
      <c r="F30" s="203">
        <f t="shared" si="0"/>
        <v>0</v>
      </c>
    </row>
    <row r="31" spans="1:6" ht="63.75" x14ac:dyDescent="0.25">
      <c r="A31" s="199">
        <v>28</v>
      </c>
      <c r="B31" s="200" t="s">
        <v>356</v>
      </c>
      <c r="C31" s="201" t="s">
        <v>241</v>
      </c>
      <c r="D31" s="121">
        <v>0</v>
      </c>
      <c r="E31" s="201">
        <v>10</v>
      </c>
      <c r="F31" s="203">
        <f t="shared" si="0"/>
        <v>0</v>
      </c>
    </row>
    <row r="32" spans="1:6" ht="38.25" x14ac:dyDescent="0.25">
      <c r="A32" s="199">
        <v>29</v>
      </c>
      <c r="B32" s="200" t="s">
        <v>357</v>
      </c>
      <c r="C32" s="201" t="s">
        <v>241</v>
      </c>
      <c r="D32" s="121">
        <v>0</v>
      </c>
      <c r="E32" s="201">
        <v>40</v>
      </c>
      <c r="F32" s="203">
        <f t="shared" si="0"/>
        <v>0</v>
      </c>
    </row>
    <row r="33" spans="1:7" ht="114.75" x14ac:dyDescent="0.25">
      <c r="A33" s="199">
        <v>30</v>
      </c>
      <c r="B33" s="200" t="s">
        <v>358</v>
      </c>
      <c r="C33" s="201" t="s">
        <v>241</v>
      </c>
      <c r="D33" s="121">
        <v>0</v>
      </c>
      <c r="E33" s="201">
        <v>12</v>
      </c>
      <c r="F33" s="203">
        <f t="shared" si="0"/>
        <v>0</v>
      </c>
    </row>
    <row r="34" spans="1:7" ht="114.75" x14ac:dyDescent="0.25">
      <c r="A34" s="199">
        <v>31</v>
      </c>
      <c r="B34" s="200" t="s">
        <v>359</v>
      </c>
      <c r="C34" s="201" t="s">
        <v>241</v>
      </c>
      <c r="D34" s="121">
        <v>0</v>
      </c>
      <c r="E34" s="201">
        <v>480</v>
      </c>
      <c r="F34" s="203">
        <f t="shared" si="0"/>
        <v>0</v>
      </c>
    </row>
    <row r="35" spans="1:7" ht="38.25" x14ac:dyDescent="0.25">
      <c r="A35" s="199">
        <v>32</v>
      </c>
      <c r="B35" s="200" t="s">
        <v>360</v>
      </c>
      <c r="C35" s="201" t="s">
        <v>241</v>
      </c>
      <c r="D35" s="121">
        <v>0</v>
      </c>
      <c r="E35" s="202">
        <v>336</v>
      </c>
      <c r="F35" s="203">
        <f t="shared" si="0"/>
        <v>0</v>
      </c>
      <c r="G35" s="102"/>
    </row>
    <row r="36" spans="1:7" ht="89.25" x14ac:dyDescent="0.25">
      <c r="A36" s="199">
        <v>33</v>
      </c>
      <c r="B36" s="200" t="s">
        <v>361</v>
      </c>
      <c r="C36" s="201" t="s">
        <v>241</v>
      </c>
      <c r="D36" s="121">
        <v>0</v>
      </c>
      <c r="E36" s="201">
        <v>4</v>
      </c>
      <c r="F36" s="203">
        <f t="shared" ref="F36:F67" si="1">TRUNC((D36*E36),2)</f>
        <v>0</v>
      </c>
    </row>
    <row r="37" spans="1:7" ht="63.75" x14ac:dyDescent="0.25">
      <c r="A37" s="199">
        <v>34</v>
      </c>
      <c r="B37" s="200" t="s">
        <v>362</v>
      </c>
      <c r="C37" s="201" t="s">
        <v>241</v>
      </c>
      <c r="D37" s="121">
        <v>0</v>
      </c>
      <c r="E37" s="202">
        <v>80</v>
      </c>
      <c r="F37" s="203">
        <f t="shared" si="1"/>
        <v>0</v>
      </c>
    </row>
    <row r="38" spans="1:7" ht="89.25" x14ac:dyDescent="0.25">
      <c r="A38" s="199">
        <v>35</v>
      </c>
      <c r="B38" s="200" t="s">
        <v>363</v>
      </c>
      <c r="C38" s="201" t="s">
        <v>241</v>
      </c>
      <c r="D38" s="121">
        <v>0</v>
      </c>
      <c r="E38" s="202">
        <v>20</v>
      </c>
      <c r="F38" s="203">
        <f t="shared" si="1"/>
        <v>0</v>
      </c>
      <c r="G38" s="102"/>
    </row>
    <row r="39" spans="1:7" ht="51" x14ac:dyDescent="0.25">
      <c r="A39" s="199">
        <v>36</v>
      </c>
      <c r="B39" s="200" t="s">
        <v>364</v>
      </c>
      <c r="C39" s="201" t="s">
        <v>241</v>
      </c>
      <c r="D39" s="121">
        <v>0</v>
      </c>
      <c r="E39" s="202">
        <v>60</v>
      </c>
      <c r="F39" s="203">
        <f t="shared" si="1"/>
        <v>0</v>
      </c>
      <c r="G39" s="102"/>
    </row>
    <row r="40" spans="1:7" ht="51" x14ac:dyDescent="0.25">
      <c r="A40" s="199">
        <v>37</v>
      </c>
      <c r="B40" s="200" t="s">
        <v>365</v>
      </c>
      <c r="C40" s="201" t="s">
        <v>241</v>
      </c>
      <c r="D40" s="121">
        <v>0</v>
      </c>
      <c r="E40" s="202">
        <v>30</v>
      </c>
      <c r="F40" s="203">
        <f t="shared" si="1"/>
        <v>0</v>
      </c>
    </row>
    <row r="41" spans="1:7" ht="51" x14ac:dyDescent="0.25">
      <c r="A41" s="199">
        <v>38</v>
      </c>
      <c r="B41" s="200" t="s">
        <v>366</v>
      </c>
      <c r="C41" s="201" t="s">
        <v>241</v>
      </c>
      <c r="D41" s="121">
        <v>0</v>
      </c>
      <c r="E41" s="202">
        <v>20</v>
      </c>
      <c r="F41" s="203">
        <f t="shared" si="1"/>
        <v>0</v>
      </c>
    </row>
    <row r="42" spans="1:7" ht="63.75" x14ac:dyDescent="0.25">
      <c r="A42" s="199">
        <v>39</v>
      </c>
      <c r="B42" s="200" t="s">
        <v>367</v>
      </c>
      <c r="C42" s="201" t="s">
        <v>241</v>
      </c>
      <c r="D42" s="121">
        <v>0</v>
      </c>
      <c r="E42" s="201">
        <v>480</v>
      </c>
      <c r="F42" s="203">
        <f t="shared" si="1"/>
        <v>0</v>
      </c>
    </row>
    <row r="43" spans="1:7" ht="63.75" x14ac:dyDescent="0.25">
      <c r="A43" s="199">
        <v>40</v>
      </c>
      <c r="B43" s="200" t="s">
        <v>368</v>
      </c>
      <c r="C43" s="201" t="s">
        <v>241</v>
      </c>
      <c r="D43" s="121">
        <v>0</v>
      </c>
      <c r="E43" s="201">
        <v>10</v>
      </c>
      <c r="F43" s="203">
        <f t="shared" si="1"/>
        <v>0</v>
      </c>
    </row>
    <row r="44" spans="1:7" ht="89.25" x14ac:dyDescent="0.25">
      <c r="A44" s="199">
        <v>41</v>
      </c>
      <c r="B44" s="200" t="s">
        <v>369</v>
      </c>
      <c r="C44" s="201" t="s">
        <v>241</v>
      </c>
      <c r="D44" s="121">
        <v>0</v>
      </c>
      <c r="E44" s="202">
        <v>480</v>
      </c>
      <c r="F44" s="203">
        <f t="shared" si="1"/>
        <v>0</v>
      </c>
    </row>
    <row r="45" spans="1:7" ht="51" x14ac:dyDescent="0.25">
      <c r="A45" s="199">
        <v>42</v>
      </c>
      <c r="B45" s="200" t="s">
        <v>370</v>
      </c>
      <c r="C45" s="201" t="s">
        <v>241</v>
      </c>
      <c r="D45" s="121">
        <v>0</v>
      </c>
      <c r="E45" s="201">
        <v>2</v>
      </c>
      <c r="F45" s="203">
        <f t="shared" si="1"/>
        <v>0</v>
      </c>
    </row>
    <row r="46" spans="1:7" ht="38.25" x14ac:dyDescent="0.25">
      <c r="A46" s="199">
        <v>43</v>
      </c>
      <c r="B46" s="200" t="s">
        <v>371</v>
      </c>
      <c r="C46" s="201" t="s">
        <v>241</v>
      </c>
      <c r="D46" s="121">
        <v>0</v>
      </c>
      <c r="E46" s="201">
        <v>5</v>
      </c>
      <c r="F46" s="203">
        <f t="shared" si="1"/>
        <v>0</v>
      </c>
    </row>
    <row r="47" spans="1:7" ht="89.25" x14ac:dyDescent="0.25">
      <c r="A47" s="199">
        <v>44</v>
      </c>
      <c r="B47" s="200" t="s">
        <v>372</v>
      </c>
      <c r="C47" s="201" t="s">
        <v>241</v>
      </c>
      <c r="D47" s="121">
        <v>0</v>
      </c>
      <c r="E47" s="202">
        <v>10</v>
      </c>
      <c r="F47" s="203">
        <f t="shared" si="1"/>
        <v>0</v>
      </c>
    </row>
    <row r="48" spans="1:7" ht="89.25" x14ac:dyDescent="0.25">
      <c r="A48" s="199">
        <v>45</v>
      </c>
      <c r="B48" s="200" t="s">
        <v>373</v>
      </c>
      <c r="C48" s="201" t="s">
        <v>241</v>
      </c>
      <c r="D48" s="121">
        <v>0</v>
      </c>
      <c r="E48" s="202">
        <v>10</v>
      </c>
      <c r="F48" s="203">
        <f t="shared" si="1"/>
        <v>0</v>
      </c>
    </row>
    <row r="49" spans="1:6" ht="63.75" x14ac:dyDescent="0.25">
      <c r="A49" s="199">
        <v>46</v>
      </c>
      <c r="B49" s="200" t="s">
        <v>374</v>
      </c>
      <c r="C49" s="201" t="s">
        <v>241</v>
      </c>
      <c r="D49" s="121">
        <v>0</v>
      </c>
      <c r="E49" s="201">
        <v>240</v>
      </c>
      <c r="F49" s="203">
        <f t="shared" si="1"/>
        <v>0</v>
      </c>
    </row>
    <row r="50" spans="1:6" ht="89.25" x14ac:dyDescent="0.25">
      <c r="A50" s="199">
        <v>47</v>
      </c>
      <c r="B50" s="200" t="s">
        <v>375</v>
      </c>
      <c r="C50" s="201" t="s">
        <v>241</v>
      </c>
      <c r="D50" s="121">
        <v>0</v>
      </c>
      <c r="E50" s="201">
        <v>72</v>
      </c>
      <c r="F50" s="203">
        <f t="shared" si="1"/>
        <v>0</v>
      </c>
    </row>
    <row r="51" spans="1:6" ht="76.5" x14ac:dyDescent="0.25">
      <c r="A51" s="199">
        <v>48</v>
      </c>
      <c r="B51" s="200" t="s">
        <v>376</v>
      </c>
      <c r="C51" s="201" t="s">
        <v>241</v>
      </c>
      <c r="D51" s="121">
        <v>0</v>
      </c>
      <c r="E51" s="202">
        <v>6</v>
      </c>
      <c r="F51" s="203">
        <f t="shared" si="1"/>
        <v>0</v>
      </c>
    </row>
    <row r="52" spans="1:6" ht="76.5" x14ac:dyDescent="0.25">
      <c r="A52" s="199">
        <v>49</v>
      </c>
      <c r="B52" s="200" t="s">
        <v>377</v>
      </c>
      <c r="C52" s="201" t="s">
        <v>241</v>
      </c>
      <c r="D52" s="121">
        <v>0</v>
      </c>
      <c r="E52" s="202">
        <v>40</v>
      </c>
      <c r="F52" s="203">
        <f t="shared" si="1"/>
        <v>0</v>
      </c>
    </row>
    <row r="53" spans="1:6" ht="38.25" x14ac:dyDescent="0.25">
      <c r="A53" s="199">
        <v>50</v>
      </c>
      <c r="B53" s="200" t="s">
        <v>378</v>
      </c>
      <c r="C53" s="201" t="s">
        <v>241</v>
      </c>
      <c r="D53" s="121">
        <v>0</v>
      </c>
      <c r="E53" s="202">
        <v>360</v>
      </c>
      <c r="F53" s="203">
        <f t="shared" si="1"/>
        <v>0</v>
      </c>
    </row>
    <row r="54" spans="1:6" ht="63.75" x14ac:dyDescent="0.25">
      <c r="A54" s="199">
        <v>51</v>
      </c>
      <c r="B54" s="200" t="s">
        <v>379</v>
      </c>
      <c r="C54" s="201" t="s">
        <v>241</v>
      </c>
      <c r="D54" s="121">
        <v>0</v>
      </c>
      <c r="E54" s="202">
        <v>50</v>
      </c>
      <c r="F54" s="203">
        <f t="shared" si="1"/>
        <v>0</v>
      </c>
    </row>
    <row r="55" spans="1:6" ht="102" x14ac:dyDescent="0.25">
      <c r="A55" s="199">
        <v>52</v>
      </c>
      <c r="B55" s="200" t="s">
        <v>380</v>
      </c>
      <c r="C55" s="201" t="s">
        <v>241</v>
      </c>
      <c r="D55" s="121">
        <v>0</v>
      </c>
      <c r="E55" s="201">
        <v>150</v>
      </c>
      <c r="F55" s="203">
        <f t="shared" si="1"/>
        <v>0</v>
      </c>
    </row>
    <row r="56" spans="1:6" ht="102" x14ac:dyDescent="0.25">
      <c r="A56" s="199">
        <v>53</v>
      </c>
      <c r="B56" s="200" t="s">
        <v>381</v>
      </c>
      <c r="C56" s="201" t="s">
        <v>241</v>
      </c>
      <c r="D56" s="121">
        <v>0</v>
      </c>
      <c r="E56" s="201">
        <v>600</v>
      </c>
      <c r="F56" s="203">
        <f t="shared" si="1"/>
        <v>0</v>
      </c>
    </row>
    <row r="57" spans="1:6" ht="25.5" x14ac:dyDescent="0.25">
      <c r="A57" s="199">
        <v>54</v>
      </c>
      <c r="B57" s="200" t="s">
        <v>382</v>
      </c>
      <c r="C57" s="201" t="s">
        <v>241</v>
      </c>
      <c r="D57" s="121">
        <v>0</v>
      </c>
      <c r="E57" s="201">
        <v>3</v>
      </c>
      <c r="F57" s="203">
        <f t="shared" si="1"/>
        <v>0</v>
      </c>
    </row>
    <row r="58" spans="1:6" ht="76.5" x14ac:dyDescent="0.25">
      <c r="A58" s="199">
        <v>55</v>
      </c>
      <c r="B58" s="200" t="s">
        <v>383</v>
      </c>
      <c r="C58" s="201" t="s">
        <v>241</v>
      </c>
      <c r="D58" s="121">
        <v>0</v>
      </c>
      <c r="E58" s="201">
        <v>1</v>
      </c>
      <c r="F58" s="203">
        <f t="shared" si="1"/>
        <v>0</v>
      </c>
    </row>
    <row r="59" spans="1:6" ht="114.75" x14ac:dyDescent="0.25">
      <c r="A59" s="199">
        <v>56</v>
      </c>
      <c r="B59" s="200" t="s">
        <v>384</v>
      </c>
      <c r="C59" s="201" t="s">
        <v>241</v>
      </c>
      <c r="D59" s="121">
        <v>0</v>
      </c>
      <c r="E59" s="202">
        <v>120</v>
      </c>
      <c r="F59" s="203">
        <f t="shared" si="1"/>
        <v>0</v>
      </c>
    </row>
    <row r="60" spans="1:6" ht="114.75" x14ac:dyDescent="0.25">
      <c r="A60" s="199">
        <v>57</v>
      </c>
      <c r="B60" s="200" t="s">
        <v>385</v>
      </c>
      <c r="C60" s="201" t="s">
        <v>241</v>
      </c>
      <c r="D60" s="121">
        <v>0</v>
      </c>
      <c r="E60" s="202">
        <v>10</v>
      </c>
      <c r="F60" s="203">
        <f t="shared" si="1"/>
        <v>0</v>
      </c>
    </row>
    <row r="61" spans="1:6" ht="114.75" x14ac:dyDescent="0.25">
      <c r="A61" s="199">
        <v>58</v>
      </c>
      <c r="B61" s="200" t="s">
        <v>386</v>
      </c>
      <c r="C61" s="201" t="s">
        <v>241</v>
      </c>
      <c r="D61" s="121">
        <v>0</v>
      </c>
      <c r="E61" s="202">
        <v>10</v>
      </c>
      <c r="F61" s="203">
        <f t="shared" si="1"/>
        <v>0</v>
      </c>
    </row>
    <row r="62" spans="1:6" ht="51" x14ac:dyDescent="0.25">
      <c r="A62" s="199">
        <v>59</v>
      </c>
      <c r="B62" s="200" t="s">
        <v>387</v>
      </c>
      <c r="C62" s="201" t="s">
        <v>241</v>
      </c>
      <c r="D62" s="121">
        <v>0</v>
      </c>
      <c r="E62" s="202">
        <v>60</v>
      </c>
      <c r="F62" s="203">
        <f t="shared" si="1"/>
        <v>0</v>
      </c>
    </row>
    <row r="63" spans="1:6" ht="51" x14ac:dyDescent="0.25">
      <c r="A63" s="199">
        <v>60</v>
      </c>
      <c r="B63" s="200" t="s">
        <v>388</v>
      </c>
      <c r="C63" s="201" t="s">
        <v>241</v>
      </c>
      <c r="D63" s="121">
        <v>0</v>
      </c>
      <c r="E63" s="202">
        <v>60</v>
      </c>
      <c r="F63" s="203">
        <f t="shared" si="1"/>
        <v>0</v>
      </c>
    </row>
    <row r="64" spans="1:6" ht="51" x14ac:dyDescent="0.25">
      <c r="A64" s="199">
        <v>61</v>
      </c>
      <c r="B64" s="200" t="s">
        <v>389</v>
      </c>
      <c r="C64" s="201" t="s">
        <v>241</v>
      </c>
      <c r="D64" s="121">
        <v>0</v>
      </c>
      <c r="E64" s="202">
        <v>40</v>
      </c>
      <c r="F64" s="203">
        <f t="shared" si="1"/>
        <v>0</v>
      </c>
    </row>
    <row r="65" spans="1:6" ht="76.5" x14ac:dyDescent="0.25">
      <c r="A65" s="199">
        <v>62</v>
      </c>
      <c r="B65" s="200" t="s">
        <v>390</v>
      </c>
      <c r="C65" s="201" t="s">
        <v>241</v>
      </c>
      <c r="D65" s="121">
        <v>0</v>
      </c>
      <c r="E65" s="202">
        <v>20</v>
      </c>
      <c r="F65" s="203">
        <f t="shared" si="1"/>
        <v>0</v>
      </c>
    </row>
    <row r="66" spans="1:6" ht="89.25" x14ac:dyDescent="0.25">
      <c r="A66" s="199">
        <v>63</v>
      </c>
      <c r="B66" s="200" t="s">
        <v>391</v>
      </c>
      <c r="C66" s="201" t="s">
        <v>241</v>
      </c>
      <c r="D66" s="121">
        <v>0</v>
      </c>
      <c r="E66" s="202">
        <v>20</v>
      </c>
      <c r="F66" s="203">
        <f t="shared" si="1"/>
        <v>0</v>
      </c>
    </row>
    <row r="67" spans="1:6" ht="76.5" x14ac:dyDescent="0.25">
      <c r="A67" s="199">
        <v>64</v>
      </c>
      <c r="B67" s="200" t="s">
        <v>392</v>
      </c>
      <c r="C67" s="201" t="s">
        <v>241</v>
      </c>
      <c r="D67" s="121">
        <v>0</v>
      </c>
      <c r="E67" s="202">
        <v>60</v>
      </c>
      <c r="F67" s="203">
        <f t="shared" si="1"/>
        <v>0</v>
      </c>
    </row>
    <row r="68" spans="1:6" ht="63.75" x14ac:dyDescent="0.25">
      <c r="A68" s="199">
        <v>65</v>
      </c>
      <c r="B68" s="200" t="s">
        <v>393</v>
      </c>
      <c r="C68" s="201" t="s">
        <v>241</v>
      </c>
      <c r="D68" s="121">
        <v>0</v>
      </c>
      <c r="E68" s="202">
        <v>80</v>
      </c>
      <c r="F68" s="203">
        <f t="shared" ref="F68:F82" si="2">TRUNC((D68*E68),2)</f>
        <v>0</v>
      </c>
    </row>
    <row r="69" spans="1:6" ht="140.25" x14ac:dyDescent="0.25">
      <c r="A69" s="199">
        <v>66</v>
      </c>
      <c r="B69" s="200" t="s">
        <v>394</v>
      </c>
      <c r="C69" s="201" t="s">
        <v>241</v>
      </c>
      <c r="D69" s="121">
        <v>0</v>
      </c>
      <c r="E69" s="202">
        <v>240</v>
      </c>
      <c r="F69" s="203">
        <f t="shared" si="2"/>
        <v>0</v>
      </c>
    </row>
    <row r="70" spans="1:6" ht="63.75" x14ac:dyDescent="0.25">
      <c r="A70" s="199">
        <v>67</v>
      </c>
      <c r="B70" s="200" t="s">
        <v>395</v>
      </c>
      <c r="C70" s="201" t="s">
        <v>241</v>
      </c>
      <c r="D70" s="121">
        <v>0</v>
      </c>
      <c r="E70" s="202">
        <v>360</v>
      </c>
      <c r="F70" s="203">
        <f t="shared" si="2"/>
        <v>0</v>
      </c>
    </row>
    <row r="71" spans="1:6" ht="102" x14ac:dyDescent="0.25">
      <c r="A71" s="199">
        <v>68</v>
      </c>
      <c r="B71" s="200" t="s">
        <v>396</v>
      </c>
      <c r="C71" s="201" t="s">
        <v>241</v>
      </c>
      <c r="D71" s="121">
        <v>0</v>
      </c>
      <c r="E71" s="201">
        <v>60</v>
      </c>
      <c r="F71" s="203">
        <f t="shared" si="2"/>
        <v>0</v>
      </c>
    </row>
    <row r="72" spans="1:6" ht="63.75" x14ac:dyDescent="0.25">
      <c r="A72" s="199">
        <v>69</v>
      </c>
      <c r="B72" s="200" t="s">
        <v>397</v>
      </c>
      <c r="C72" s="201" t="s">
        <v>241</v>
      </c>
      <c r="D72" s="121">
        <v>0</v>
      </c>
      <c r="E72" s="202">
        <v>240</v>
      </c>
      <c r="F72" s="203">
        <f t="shared" si="2"/>
        <v>0</v>
      </c>
    </row>
    <row r="73" spans="1:6" ht="63.75" x14ac:dyDescent="0.25">
      <c r="A73" s="199">
        <v>70</v>
      </c>
      <c r="B73" s="200" t="s">
        <v>398</v>
      </c>
      <c r="C73" s="201" t="s">
        <v>241</v>
      </c>
      <c r="D73" s="121">
        <v>0</v>
      </c>
      <c r="E73" s="202">
        <v>240</v>
      </c>
      <c r="F73" s="203">
        <f t="shared" si="2"/>
        <v>0</v>
      </c>
    </row>
    <row r="74" spans="1:6" ht="51" x14ac:dyDescent="0.25">
      <c r="A74" s="199">
        <v>71</v>
      </c>
      <c r="B74" s="200" t="s">
        <v>399</v>
      </c>
      <c r="C74" s="201" t="s">
        <v>241</v>
      </c>
      <c r="D74" s="121">
        <v>0</v>
      </c>
      <c r="E74" s="201">
        <v>120</v>
      </c>
      <c r="F74" s="203">
        <f t="shared" si="2"/>
        <v>0</v>
      </c>
    </row>
    <row r="75" spans="1:6" ht="127.5" x14ac:dyDescent="0.25">
      <c r="A75" s="199">
        <v>72</v>
      </c>
      <c r="B75" s="200" t="s">
        <v>400</v>
      </c>
      <c r="C75" s="201" t="s">
        <v>241</v>
      </c>
      <c r="D75" s="121">
        <v>0</v>
      </c>
      <c r="E75" s="202">
        <v>60</v>
      </c>
      <c r="F75" s="203">
        <f t="shared" si="2"/>
        <v>0</v>
      </c>
    </row>
    <row r="76" spans="1:6" ht="76.5" x14ac:dyDescent="0.25">
      <c r="A76" s="199">
        <v>73</v>
      </c>
      <c r="B76" s="200" t="s">
        <v>401</v>
      </c>
      <c r="C76" s="201" t="s">
        <v>241</v>
      </c>
      <c r="D76" s="121">
        <v>0</v>
      </c>
      <c r="E76" s="202">
        <v>20</v>
      </c>
      <c r="F76" s="203">
        <f t="shared" si="2"/>
        <v>0</v>
      </c>
    </row>
    <row r="77" spans="1:6" ht="63.75" x14ac:dyDescent="0.25">
      <c r="A77" s="199">
        <v>74</v>
      </c>
      <c r="B77" s="200" t="s">
        <v>402</v>
      </c>
      <c r="C77" s="201" t="s">
        <v>241</v>
      </c>
      <c r="D77" s="121">
        <v>0</v>
      </c>
      <c r="E77" s="201">
        <v>10</v>
      </c>
      <c r="F77" s="203">
        <f t="shared" si="2"/>
        <v>0</v>
      </c>
    </row>
    <row r="78" spans="1:6" ht="63.75" x14ac:dyDescent="0.25">
      <c r="A78" s="199">
        <v>75</v>
      </c>
      <c r="B78" s="200" t="s">
        <v>403</v>
      </c>
      <c r="C78" s="201" t="s">
        <v>241</v>
      </c>
      <c r="D78" s="121">
        <v>0</v>
      </c>
      <c r="E78" s="202">
        <v>20</v>
      </c>
      <c r="F78" s="203">
        <f t="shared" si="2"/>
        <v>0</v>
      </c>
    </row>
    <row r="79" spans="1:6" ht="102" x14ac:dyDescent="0.25">
      <c r="A79" s="199">
        <v>76</v>
      </c>
      <c r="B79" s="200" t="s">
        <v>404</v>
      </c>
      <c r="C79" s="201" t="s">
        <v>241</v>
      </c>
      <c r="D79" s="121">
        <v>0</v>
      </c>
      <c r="E79" s="202">
        <v>24</v>
      </c>
      <c r="F79" s="203">
        <f t="shared" si="2"/>
        <v>0</v>
      </c>
    </row>
    <row r="80" spans="1:6" ht="63.75" x14ac:dyDescent="0.25">
      <c r="A80" s="199">
        <v>77</v>
      </c>
      <c r="B80" s="200" t="s">
        <v>405</v>
      </c>
      <c r="C80" s="201" t="s">
        <v>241</v>
      </c>
      <c r="D80" s="121">
        <v>0</v>
      </c>
      <c r="E80" s="202">
        <v>20</v>
      </c>
      <c r="F80" s="203">
        <f t="shared" si="2"/>
        <v>0</v>
      </c>
    </row>
    <row r="81" spans="1:6" ht="51" x14ac:dyDescent="0.25">
      <c r="A81" s="199">
        <v>78</v>
      </c>
      <c r="B81" s="200" t="s">
        <v>406</v>
      </c>
      <c r="C81" s="201" t="s">
        <v>241</v>
      </c>
      <c r="D81" s="121">
        <v>0</v>
      </c>
      <c r="E81" s="202">
        <v>480</v>
      </c>
      <c r="F81" s="203">
        <f t="shared" si="2"/>
        <v>0</v>
      </c>
    </row>
    <row r="82" spans="1:6" ht="89.25" x14ac:dyDescent="0.25">
      <c r="A82" s="199">
        <v>79</v>
      </c>
      <c r="B82" s="200" t="s">
        <v>407</v>
      </c>
      <c r="C82" s="201" t="s">
        <v>241</v>
      </c>
      <c r="D82" s="121">
        <v>0</v>
      </c>
      <c r="E82" s="202">
        <v>60</v>
      </c>
      <c r="F82" s="203">
        <f t="shared" si="2"/>
        <v>0</v>
      </c>
    </row>
    <row r="83" spans="1:6" x14ac:dyDescent="0.25">
      <c r="A83" s="111"/>
      <c r="B83" s="111" t="s">
        <v>200</v>
      </c>
      <c r="C83" s="111"/>
      <c r="D83" s="111"/>
      <c r="E83" s="111"/>
      <c r="F83" s="112">
        <f>TRUNC(SUM(F4:F82),2)</f>
        <v>0</v>
      </c>
    </row>
    <row r="84" spans="1:6" x14ac:dyDescent="0.25">
      <c r="A84" s="103"/>
      <c r="B84" s="105" t="s">
        <v>242</v>
      </c>
      <c r="C84" s="107"/>
      <c r="D84" s="107"/>
      <c r="E84" s="107"/>
      <c r="F84" s="109">
        <f>TRUNC(F83/'Áreas e Produtividades'!N21,2)</f>
        <v>0</v>
      </c>
    </row>
    <row r="85" spans="1:6" x14ac:dyDescent="0.25">
      <c r="A85" s="104"/>
      <c r="B85" s="106" t="s">
        <v>243</v>
      </c>
      <c r="C85" s="108"/>
      <c r="D85" s="107"/>
      <c r="E85" s="107"/>
      <c r="F85" s="110">
        <f>TRUNC(F84/12,2)</f>
        <v>0</v>
      </c>
    </row>
  </sheetData>
  <mergeCells count="2">
    <mergeCell ref="A2:F2"/>
    <mergeCell ref="A1:F1"/>
  </mergeCells>
  <pageMargins left="0.25" right="0.25" top="0.75" bottom="0.75" header="0.3" footer="0.3"/>
  <pageSetup paperSize="9" scale="92" fitToHeight="0"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5"/>
  <sheetViews>
    <sheetView zoomScaleSheetLayoutView="100" workbookViewId="0">
      <selection activeCell="A16" sqref="A16:F16"/>
    </sheetView>
  </sheetViews>
  <sheetFormatPr defaultColWidth="9.140625" defaultRowHeight="15" x14ac:dyDescent="0.25"/>
  <cols>
    <col min="2" max="2" width="29" customWidth="1"/>
    <col min="4" max="4" width="13" customWidth="1"/>
    <col min="5" max="5" width="13.5703125" customWidth="1"/>
    <col min="6" max="6" width="13.85546875" customWidth="1"/>
  </cols>
  <sheetData>
    <row r="1" spans="1:6" ht="18.75" x14ac:dyDescent="0.3">
      <c r="A1" s="263" t="s">
        <v>311</v>
      </c>
      <c r="B1" s="263"/>
      <c r="C1" s="263"/>
      <c r="D1" s="263"/>
      <c r="E1" s="263"/>
      <c r="F1" s="263"/>
    </row>
    <row r="2" spans="1:6" ht="18.75" x14ac:dyDescent="0.3">
      <c r="A2" s="263" t="s">
        <v>244</v>
      </c>
      <c r="B2" s="263"/>
      <c r="C2" s="263"/>
      <c r="D2" s="263"/>
      <c r="E2" s="263"/>
      <c r="F2" s="263"/>
    </row>
    <row r="3" spans="1:6" ht="60" x14ac:dyDescent="0.25">
      <c r="A3" s="33" t="s">
        <v>235</v>
      </c>
      <c r="B3" s="33" t="s">
        <v>236</v>
      </c>
      <c r="C3" s="33" t="s">
        <v>237</v>
      </c>
      <c r="D3" s="33" t="s">
        <v>238</v>
      </c>
      <c r="E3" s="33" t="s">
        <v>312</v>
      </c>
      <c r="F3" s="33" t="s">
        <v>240</v>
      </c>
    </row>
    <row r="4" spans="1:6" ht="75" x14ac:dyDescent="0.25">
      <c r="A4" s="35">
        <v>1</v>
      </c>
      <c r="B4" s="45" t="s">
        <v>245</v>
      </c>
      <c r="C4" s="36" t="s">
        <v>241</v>
      </c>
      <c r="D4" s="37">
        <v>0</v>
      </c>
      <c r="E4" s="36">
        <v>4</v>
      </c>
      <c r="F4" s="46">
        <f t="shared" ref="F4:F12" si="0">TRUNC(E4*D4,2)</f>
        <v>0</v>
      </c>
    </row>
    <row r="5" spans="1:6" ht="75" x14ac:dyDescent="0.25">
      <c r="A5" s="38">
        <v>2</v>
      </c>
      <c r="B5" s="47" t="s">
        <v>246</v>
      </c>
      <c r="C5" s="40" t="s">
        <v>241</v>
      </c>
      <c r="D5" s="41">
        <v>0</v>
      </c>
      <c r="E5" s="40">
        <v>4</v>
      </c>
      <c r="F5" s="48">
        <f t="shared" si="0"/>
        <v>0</v>
      </c>
    </row>
    <row r="6" spans="1:6" ht="121.5" thickTop="1" thickBot="1" x14ac:dyDescent="0.3">
      <c r="A6" s="35">
        <v>3</v>
      </c>
      <c r="B6" s="45" t="s">
        <v>247</v>
      </c>
      <c r="C6" s="36" t="s">
        <v>241</v>
      </c>
      <c r="D6" s="37">
        <v>0</v>
      </c>
      <c r="E6" s="36">
        <v>2</v>
      </c>
      <c r="F6" s="46">
        <f t="shared" si="0"/>
        <v>0</v>
      </c>
    </row>
    <row r="7" spans="1:6" ht="91.5" thickTop="1" thickBot="1" x14ac:dyDescent="0.3">
      <c r="A7" s="89">
        <v>4</v>
      </c>
      <c r="B7" s="47" t="s">
        <v>248</v>
      </c>
      <c r="C7" s="40" t="s">
        <v>241</v>
      </c>
      <c r="D7" s="41">
        <v>0</v>
      </c>
      <c r="E7" s="40">
        <v>2</v>
      </c>
      <c r="F7" s="48">
        <f t="shared" si="0"/>
        <v>0</v>
      </c>
    </row>
    <row r="8" spans="1:6" ht="136.5" thickTop="1" thickBot="1" x14ac:dyDescent="0.3">
      <c r="A8" s="93">
        <v>5</v>
      </c>
      <c r="B8" s="45" t="s">
        <v>249</v>
      </c>
      <c r="C8" s="36" t="s">
        <v>241</v>
      </c>
      <c r="D8" s="37">
        <v>0</v>
      </c>
      <c r="E8" s="36">
        <v>1</v>
      </c>
      <c r="F8" s="46">
        <f t="shared" si="0"/>
        <v>0</v>
      </c>
    </row>
    <row r="9" spans="1:6" ht="76.5" thickTop="1" thickBot="1" x14ac:dyDescent="0.3">
      <c r="A9" s="89">
        <v>6</v>
      </c>
      <c r="B9" s="90" t="s">
        <v>250</v>
      </c>
      <c r="C9" s="91" t="s">
        <v>241</v>
      </c>
      <c r="D9" s="97">
        <v>0</v>
      </c>
      <c r="E9" s="91">
        <v>1</v>
      </c>
      <c r="F9" s="92">
        <f t="shared" si="0"/>
        <v>0</v>
      </c>
    </row>
    <row r="10" spans="1:6" ht="75.75" thickTop="1" x14ac:dyDescent="0.25">
      <c r="A10" s="35">
        <v>7</v>
      </c>
      <c r="B10" s="94" t="s">
        <v>251</v>
      </c>
      <c r="C10" s="95" t="s">
        <v>241</v>
      </c>
      <c r="D10" s="98">
        <v>0</v>
      </c>
      <c r="E10" s="95">
        <v>2</v>
      </c>
      <c r="F10" s="96">
        <f t="shared" si="0"/>
        <v>0</v>
      </c>
    </row>
    <row r="11" spans="1:6" ht="135.75" thickBot="1" x14ac:dyDescent="0.3">
      <c r="A11" s="38">
        <v>8</v>
      </c>
      <c r="B11" s="47" t="s">
        <v>252</v>
      </c>
      <c r="C11" s="40" t="s">
        <v>241</v>
      </c>
      <c r="D11" s="41">
        <v>0</v>
      </c>
      <c r="E11" s="40">
        <v>4</v>
      </c>
      <c r="F11" s="48">
        <f t="shared" si="0"/>
        <v>0</v>
      </c>
    </row>
    <row r="12" spans="1:6" ht="46.5" thickTop="1" thickBot="1" x14ac:dyDescent="0.3">
      <c r="A12" s="35">
        <v>9</v>
      </c>
      <c r="B12" s="45" t="s">
        <v>253</v>
      </c>
      <c r="C12" s="36" t="s">
        <v>241</v>
      </c>
      <c r="D12" s="37">
        <v>0</v>
      </c>
      <c r="E12" s="36">
        <v>1</v>
      </c>
      <c r="F12" s="46">
        <f t="shared" si="0"/>
        <v>0</v>
      </c>
    </row>
    <row r="13" spans="1:6" ht="15.75" thickTop="1" x14ac:dyDescent="0.25">
      <c r="A13" s="264" t="s">
        <v>44</v>
      </c>
      <c r="B13" s="264"/>
      <c r="C13" s="264"/>
      <c r="D13" s="264"/>
      <c r="E13" s="265"/>
      <c r="F13" s="49">
        <f>TRUNC(SUM(F4:F12),2)</f>
        <v>0</v>
      </c>
    </row>
    <row r="14" spans="1:6" x14ac:dyDescent="0.25">
      <c r="A14" s="261" t="s">
        <v>254</v>
      </c>
      <c r="B14" s="261"/>
      <c r="C14" s="261"/>
      <c r="D14" s="261"/>
      <c r="E14" s="262"/>
      <c r="F14" s="51">
        <f>TRUNC(F13/12,2)</f>
        <v>0</v>
      </c>
    </row>
    <row r="16" spans="1:6" ht="18.75" x14ac:dyDescent="0.3">
      <c r="A16" s="263" t="s">
        <v>311</v>
      </c>
      <c r="B16" s="263"/>
      <c r="C16" s="263"/>
      <c r="D16" s="263"/>
      <c r="E16" s="263"/>
      <c r="F16" s="263"/>
    </row>
    <row r="17" spans="1:6" ht="18.75" x14ac:dyDescent="0.3">
      <c r="A17" s="263" t="s">
        <v>255</v>
      </c>
      <c r="B17" s="263"/>
      <c r="C17" s="263"/>
      <c r="D17" s="263"/>
      <c r="E17" s="263"/>
      <c r="F17" s="263"/>
    </row>
    <row r="18" spans="1:6" ht="60" x14ac:dyDescent="0.25">
      <c r="A18" s="33" t="s">
        <v>235</v>
      </c>
      <c r="B18" s="33" t="s">
        <v>236</v>
      </c>
      <c r="C18" s="33" t="s">
        <v>237</v>
      </c>
      <c r="D18" s="33" t="s">
        <v>238</v>
      </c>
      <c r="E18" s="33" t="s">
        <v>239</v>
      </c>
      <c r="F18" s="33" t="s">
        <v>240</v>
      </c>
    </row>
    <row r="19" spans="1:6" ht="30" x14ac:dyDescent="0.25">
      <c r="A19" s="35">
        <v>1</v>
      </c>
      <c r="B19" s="45" t="s">
        <v>318</v>
      </c>
      <c r="C19" s="36" t="s">
        <v>241</v>
      </c>
      <c r="D19" s="37">
        <v>0</v>
      </c>
      <c r="E19" s="36">
        <v>4</v>
      </c>
      <c r="F19" s="46">
        <f t="shared" ref="F19:F23" si="1">TRUNC(E19*D19,2)</f>
        <v>0</v>
      </c>
    </row>
    <row r="20" spans="1:6" ht="75" x14ac:dyDescent="0.25">
      <c r="A20" s="38">
        <v>2</v>
      </c>
      <c r="B20" s="39" t="s">
        <v>246</v>
      </c>
      <c r="C20" s="52" t="s">
        <v>241</v>
      </c>
      <c r="D20" s="37">
        <v>0</v>
      </c>
      <c r="E20" s="52">
        <v>4</v>
      </c>
      <c r="F20" s="53">
        <f t="shared" si="1"/>
        <v>0</v>
      </c>
    </row>
    <row r="21" spans="1:6" ht="120" x14ac:dyDescent="0.25">
      <c r="A21" s="35">
        <v>3</v>
      </c>
      <c r="B21" s="45" t="s">
        <v>247</v>
      </c>
      <c r="C21" s="36" t="s">
        <v>241</v>
      </c>
      <c r="D21" s="37">
        <v>0</v>
      </c>
      <c r="E21" s="36">
        <v>2</v>
      </c>
      <c r="F21" s="46">
        <f t="shared" si="1"/>
        <v>0</v>
      </c>
    </row>
    <row r="22" spans="1:6" ht="91.5" thickTop="1" thickBot="1" x14ac:dyDescent="0.3">
      <c r="A22" s="38">
        <v>4</v>
      </c>
      <c r="B22" s="39" t="s">
        <v>248</v>
      </c>
      <c r="C22" s="52" t="s">
        <v>241</v>
      </c>
      <c r="D22" s="37">
        <v>0</v>
      </c>
      <c r="E22" s="52">
        <v>2</v>
      </c>
      <c r="F22" s="53">
        <f t="shared" si="1"/>
        <v>0</v>
      </c>
    </row>
    <row r="23" spans="1:6" ht="76.5" thickTop="1" thickBot="1" x14ac:dyDescent="0.3">
      <c r="A23" s="93">
        <v>6</v>
      </c>
      <c r="B23" s="99" t="s">
        <v>250</v>
      </c>
      <c r="C23" s="100" t="s">
        <v>241</v>
      </c>
      <c r="D23" s="37">
        <v>0</v>
      </c>
      <c r="E23" s="100">
        <v>1</v>
      </c>
      <c r="F23" s="101">
        <f t="shared" si="1"/>
        <v>0</v>
      </c>
    </row>
    <row r="24" spans="1:6" ht="15.75" thickTop="1" x14ac:dyDescent="0.25">
      <c r="A24" s="264" t="s">
        <v>44</v>
      </c>
      <c r="B24" s="264"/>
      <c r="C24" s="264"/>
      <c r="D24" s="264"/>
      <c r="E24" s="265"/>
      <c r="F24" s="49">
        <f>TRUNC(SUM(F19:F23),2)</f>
        <v>0</v>
      </c>
    </row>
    <row r="25" spans="1:6" x14ac:dyDescent="0.25">
      <c r="A25" s="50"/>
      <c r="B25" s="260" t="s">
        <v>256</v>
      </c>
      <c r="C25" s="261"/>
      <c r="D25" s="261"/>
      <c r="E25" s="262"/>
      <c r="F25" s="51">
        <f>TRUNC(F24/12,2)</f>
        <v>0</v>
      </c>
    </row>
  </sheetData>
  <mergeCells count="8">
    <mergeCell ref="A1:F1"/>
    <mergeCell ref="A16:F16"/>
    <mergeCell ref="B25:E25"/>
    <mergeCell ref="A2:F2"/>
    <mergeCell ref="A17:F17"/>
    <mergeCell ref="A24:E24"/>
    <mergeCell ref="A13:E13"/>
    <mergeCell ref="A14:E14"/>
  </mergeCells>
  <pageMargins left="0.25" right="0.25" top="0.75" bottom="0.75"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1"/>
  <sheetViews>
    <sheetView zoomScaleSheetLayoutView="100" workbookViewId="0">
      <selection activeCell="L3" sqref="L3"/>
    </sheetView>
  </sheetViews>
  <sheetFormatPr defaultColWidth="9.140625" defaultRowHeight="15" x14ac:dyDescent="0.25"/>
  <cols>
    <col min="2" max="2" width="34.5703125" customWidth="1"/>
    <col min="4" max="4" width="13.140625" customWidth="1"/>
    <col min="5" max="5" width="15" customWidth="1"/>
    <col min="6" max="6" width="14.7109375" customWidth="1"/>
  </cols>
  <sheetData>
    <row r="1" spans="1:6" ht="60" x14ac:dyDescent="0.25">
      <c r="A1" s="32" t="s">
        <v>235</v>
      </c>
      <c r="B1" s="33" t="s">
        <v>236</v>
      </c>
      <c r="C1" s="33" t="s">
        <v>237</v>
      </c>
      <c r="D1" s="33" t="s">
        <v>238</v>
      </c>
      <c r="E1" s="33" t="s">
        <v>239</v>
      </c>
      <c r="F1" s="34" t="s">
        <v>240</v>
      </c>
    </row>
    <row r="2" spans="1:6" ht="153" x14ac:dyDescent="0.25">
      <c r="A2" s="206">
        <v>1</v>
      </c>
      <c r="B2" s="207" t="s">
        <v>408</v>
      </c>
      <c r="C2" s="208" t="s">
        <v>241</v>
      </c>
      <c r="D2" s="37">
        <v>0</v>
      </c>
      <c r="E2" s="208">
        <v>2</v>
      </c>
      <c r="F2" s="209">
        <f t="shared" ref="F2:F6" si="0">TRUNC(E2*D2,2)</f>
        <v>0</v>
      </c>
    </row>
    <row r="3" spans="1:6" ht="114.75" x14ac:dyDescent="0.25">
      <c r="A3" s="210">
        <v>2</v>
      </c>
      <c r="B3" s="211" t="s">
        <v>409</v>
      </c>
      <c r="C3" s="212" t="s">
        <v>241</v>
      </c>
      <c r="D3" s="41">
        <v>0</v>
      </c>
      <c r="E3" s="212">
        <v>2</v>
      </c>
      <c r="F3" s="213">
        <f t="shared" si="0"/>
        <v>0</v>
      </c>
    </row>
    <row r="4" spans="1:6" ht="191.25" x14ac:dyDescent="0.25">
      <c r="A4" s="214">
        <v>3</v>
      </c>
      <c r="B4" s="215" t="s">
        <v>410</v>
      </c>
      <c r="C4" s="216" t="s">
        <v>241</v>
      </c>
      <c r="D4" s="41">
        <v>0</v>
      </c>
      <c r="E4" s="216">
        <v>3</v>
      </c>
      <c r="F4" s="209">
        <f t="shared" si="0"/>
        <v>0</v>
      </c>
    </row>
    <row r="5" spans="1:6" ht="114.75" x14ac:dyDescent="0.25">
      <c r="A5" s="210">
        <v>4</v>
      </c>
      <c r="B5" s="211" t="s">
        <v>411</v>
      </c>
      <c r="C5" s="212" t="s">
        <v>241</v>
      </c>
      <c r="D5" s="41">
        <v>0</v>
      </c>
      <c r="E5" s="212">
        <v>10</v>
      </c>
      <c r="F5" s="213">
        <f t="shared" si="0"/>
        <v>0</v>
      </c>
    </row>
    <row r="6" spans="1:6" ht="165.75" x14ac:dyDescent="0.25">
      <c r="A6" s="214">
        <v>5</v>
      </c>
      <c r="B6" s="215" t="s">
        <v>412</v>
      </c>
      <c r="C6" s="216" t="s">
        <v>241</v>
      </c>
      <c r="D6" s="41">
        <v>0</v>
      </c>
      <c r="E6" s="216">
        <v>2</v>
      </c>
      <c r="F6" s="209">
        <f t="shared" si="0"/>
        <v>0</v>
      </c>
    </row>
    <row r="7" spans="1:6" x14ac:dyDescent="0.25">
      <c r="A7" s="266" t="s">
        <v>44</v>
      </c>
      <c r="B7" s="267"/>
      <c r="C7" s="267"/>
      <c r="D7" s="267"/>
      <c r="E7" s="268"/>
      <c r="F7" s="42">
        <f>TRUNC(SUM(F2:F6),2)</f>
        <v>0</v>
      </c>
    </row>
    <row r="8" spans="1:6" x14ac:dyDescent="0.25">
      <c r="A8" s="266" t="s">
        <v>257</v>
      </c>
      <c r="B8" s="267"/>
      <c r="C8" s="267"/>
      <c r="D8" s="267"/>
      <c r="E8" s="268"/>
      <c r="F8" s="43">
        <f>TRUNC(F7*0.5%,2)</f>
        <v>0</v>
      </c>
    </row>
    <row r="9" spans="1:6" x14ac:dyDescent="0.25">
      <c r="A9" s="269" t="s">
        <v>258</v>
      </c>
      <c r="B9" s="269"/>
      <c r="C9" s="269"/>
      <c r="D9" s="269"/>
      <c r="E9" s="269"/>
      <c r="F9" s="44">
        <f>TRUNC(F7*(1-0.2)/(12*8))</f>
        <v>0</v>
      </c>
    </row>
    <row r="10" spans="1:6" x14ac:dyDescent="0.25">
      <c r="A10" s="269" t="s">
        <v>259</v>
      </c>
      <c r="B10" s="269"/>
      <c r="C10" s="269"/>
      <c r="D10" s="269"/>
      <c r="E10" s="269"/>
      <c r="F10" s="44">
        <f>TRUNC(SUM(F8:F9))</f>
        <v>0</v>
      </c>
    </row>
    <row r="11" spans="1:6" x14ac:dyDescent="0.25">
      <c r="A11" s="269" t="s">
        <v>260</v>
      </c>
      <c r="B11" s="269"/>
      <c r="C11" s="269"/>
      <c r="D11" s="269"/>
      <c r="E11" s="269"/>
      <c r="F11" s="44">
        <f>TRUNC(F10/'Áreas e Produtividades'!N21,2)</f>
        <v>0</v>
      </c>
    </row>
  </sheetData>
  <mergeCells count="5">
    <mergeCell ref="A7:E7"/>
    <mergeCell ref="A8:E8"/>
    <mergeCell ref="A9:E9"/>
    <mergeCell ref="A10:E10"/>
    <mergeCell ref="A11:E11"/>
  </mergeCells>
  <pageMargins left="0.25" right="0.25" top="0.75" bottom="0.75" header="0.3" footer="0.3"/>
  <pageSetup paperSize="9" fitToHeight="0"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O24"/>
  <sheetViews>
    <sheetView zoomScaleSheetLayoutView="100" workbookViewId="0">
      <selection activeCell="B28" sqref="B28"/>
    </sheetView>
  </sheetViews>
  <sheetFormatPr defaultColWidth="9.140625" defaultRowHeight="15" x14ac:dyDescent="0.25"/>
  <cols>
    <col min="2" max="2" width="65.42578125" customWidth="1"/>
    <col min="3" max="3" width="20.5703125" customWidth="1"/>
    <col min="4" max="4" width="13.85546875" customWidth="1"/>
    <col min="5" max="5" width="13.5703125" customWidth="1"/>
    <col min="6" max="6" width="14.5703125" customWidth="1"/>
    <col min="7" max="10" width="13.28515625" customWidth="1"/>
    <col min="11" max="11" width="10.5703125" bestFit="1" customWidth="1"/>
    <col min="12" max="12" width="13.7109375" customWidth="1"/>
    <col min="13" max="13" width="10.28515625" customWidth="1"/>
    <col min="14" max="14" width="12.5703125" customWidth="1"/>
    <col min="15" max="15" width="14.28515625" customWidth="1"/>
  </cols>
  <sheetData>
    <row r="2" spans="1:15" ht="60.75" thickBot="1" x14ac:dyDescent="0.3">
      <c r="A2" s="9" t="s">
        <v>2</v>
      </c>
      <c r="B2" s="9" t="s">
        <v>3</v>
      </c>
      <c r="C2" s="10" t="s">
        <v>261</v>
      </c>
      <c r="D2" s="10" t="s">
        <v>262</v>
      </c>
      <c r="E2" s="10" t="s">
        <v>263</v>
      </c>
      <c r="F2" s="10" t="s">
        <v>264</v>
      </c>
      <c r="G2" s="10" t="s">
        <v>265</v>
      </c>
      <c r="H2" s="10" t="s">
        <v>266</v>
      </c>
      <c r="I2" s="10" t="s">
        <v>267</v>
      </c>
      <c r="J2" s="10" t="s">
        <v>268</v>
      </c>
      <c r="K2" s="10" t="s">
        <v>269</v>
      </c>
      <c r="L2" s="10" t="s">
        <v>270</v>
      </c>
      <c r="M2" s="10" t="s">
        <v>271</v>
      </c>
      <c r="N2" s="10" t="s">
        <v>272</v>
      </c>
      <c r="O2" s="10" t="s">
        <v>273</v>
      </c>
    </row>
    <row r="3" spans="1:15" ht="16.5" thickTop="1" thickBot="1" x14ac:dyDescent="0.3">
      <c r="A3" s="11">
        <v>1</v>
      </c>
      <c r="B3" s="11" t="s">
        <v>274</v>
      </c>
      <c r="C3" s="12" t="s">
        <v>275</v>
      </c>
      <c r="D3" s="13">
        <v>0</v>
      </c>
      <c r="E3" s="14"/>
      <c r="F3" s="14"/>
      <c r="G3" s="14">
        <v>800</v>
      </c>
      <c r="H3" s="14">
        <v>1200</v>
      </c>
      <c r="I3" s="14">
        <f t="shared" ref="I3:I20" si="0">MEDIAN(G3:H3)</f>
        <v>1000</v>
      </c>
      <c r="J3" s="25">
        <f>G3</f>
        <v>800</v>
      </c>
      <c r="K3" s="26">
        <f>IF(E3&gt;0,E3*F3*(1/J3),1/J3)</f>
        <v>1.25E-3</v>
      </c>
      <c r="L3" s="26">
        <f>TRUNC(IF(D3&gt;0,K3*D3,0),2)</f>
        <v>0</v>
      </c>
      <c r="M3" s="26">
        <f>(1+((M$21-L$21)/L$21))*K3</f>
        <v>1.2803234501347707E-3</v>
      </c>
      <c r="N3" s="26">
        <f>M3*D3</f>
        <v>0</v>
      </c>
      <c r="O3" s="27">
        <f>IF(D3=0,0,IF(E3=0,1/M3,(E3*F3)/M3))</f>
        <v>0</v>
      </c>
    </row>
    <row r="4" spans="1:15" ht="16.5" thickTop="1" thickBot="1" x14ac:dyDescent="0.3">
      <c r="A4" s="113">
        <v>2</v>
      </c>
      <c r="B4" s="15" t="s">
        <v>276</v>
      </c>
      <c r="C4" s="16" t="s">
        <v>275</v>
      </c>
      <c r="D4" s="17">
        <v>5442</v>
      </c>
      <c r="E4" s="18"/>
      <c r="F4" s="18"/>
      <c r="G4" s="18">
        <v>800</v>
      </c>
      <c r="H4" s="18">
        <v>1200</v>
      </c>
      <c r="I4" s="18">
        <f t="shared" si="0"/>
        <v>1000</v>
      </c>
      <c r="J4" s="25">
        <v>1000</v>
      </c>
      <c r="K4" s="28">
        <f t="shared" ref="K4:K20" si="1">IF(E4&gt;0,E4*F4*(1/J4),1/J4)</f>
        <v>1E-3</v>
      </c>
      <c r="L4" s="28">
        <f t="shared" ref="L4:L20" si="2">TRUNC(IF(D4&gt;0,K4*D4,0),2)</f>
        <v>5.44</v>
      </c>
      <c r="M4" s="28">
        <f t="shared" ref="M4:M20" si="3">(1+((M$21-L$21)/L$21))*K4</f>
        <v>1.0242587601078166E-3</v>
      </c>
      <c r="N4" s="28">
        <f t="shared" ref="N4:N20" si="4">M4*D4</f>
        <v>5.5740161725067381</v>
      </c>
      <c r="O4" s="27">
        <f>IF(D4=0,0,IF(E4=0,1/M4,(E4*F4)/M4))</f>
        <v>976.31578947368428</v>
      </c>
    </row>
    <row r="5" spans="1:15" x14ac:dyDescent="0.25">
      <c r="A5" s="114">
        <v>3</v>
      </c>
      <c r="B5" s="19" t="s">
        <v>277</v>
      </c>
      <c r="C5" s="20" t="s">
        <v>275</v>
      </c>
      <c r="D5" s="21">
        <v>2026</v>
      </c>
      <c r="E5" s="22"/>
      <c r="F5" s="22"/>
      <c r="G5" s="22">
        <v>360</v>
      </c>
      <c r="H5" s="22">
        <v>450</v>
      </c>
      <c r="I5" s="22">
        <f t="shared" si="0"/>
        <v>405</v>
      </c>
      <c r="J5" s="25">
        <v>405</v>
      </c>
      <c r="K5" s="29">
        <f t="shared" si="1"/>
        <v>2.4691358024691358E-3</v>
      </c>
      <c r="L5" s="29">
        <f t="shared" si="2"/>
        <v>5</v>
      </c>
      <c r="M5" s="29">
        <f t="shared" si="3"/>
        <v>2.5290339755748557E-3</v>
      </c>
      <c r="N5" s="29">
        <f t="shared" si="4"/>
        <v>5.1238228345146579</v>
      </c>
      <c r="O5" s="27">
        <f t="shared" ref="O5:O20" si="5">IF(D5=0,0,IF(E5=0,1/M5,(E5*F5)/M5))</f>
        <v>395.4078947368422</v>
      </c>
    </row>
    <row r="6" spans="1:15" x14ac:dyDescent="0.25">
      <c r="A6" s="113">
        <v>4</v>
      </c>
      <c r="B6" s="15" t="s">
        <v>278</v>
      </c>
      <c r="C6" s="16" t="s">
        <v>275</v>
      </c>
      <c r="D6" s="17">
        <v>0</v>
      </c>
      <c r="E6" s="18"/>
      <c r="F6" s="18"/>
      <c r="G6" s="18">
        <v>1500</v>
      </c>
      <c r="H6" s="18">
        <v>2500</v>
      </c>
      <c r="I6" s="18">
        <f t="shared" si="0"/>
        <v>2000</v>
      </c>
      <c r="J6" s="25">
        <f t="shared" ref="J6:J20" si="6">G6</f>
        <v>1500</v>
      </c>
      <c r="K6" s="28">
        <f t="shared" si="1"/>
        <v>6.6666666666666664E-4</v>
      </c>
      <c r="L6" s="28">
        <f t="shared" si="2"/>
        <v>0</v>
      </c>
      <c r="M6" s="28">
        <f t="shared" si="3"/>
        <v>6.8283917340521106E-4</v>
      </c>
      <c r="N6" s="28">
        <f t="shared" si="4"/>
        <v>0</v>
      </c>
      <c r="O6" s="27">
        <f t="shared" si="5"/>
        <v>0</v>
      </c>
    </row>
    <row r="7" spans="1:15" x14ac:dyDescent="0.25">
      <c r="A7" s="114">
        <v>5</v>
      </c>
      <c r="B7" s="19" t="s">
        <v>279</v>
      </c>
      <c r="C7" s="20" t="s">
        <v>275</v>
      </c>
      <c r="D7" s="21">
        <v>0</v>
      </c>
      <c r="E7" s="22"/>
      <c r="F7" s="22"/>
      <c r="G7" s="22">
        <v>1200</v>
      </c>
      <c r="H7" s="22">
        <v>1800</v>
      </c>
      <c r="I7" s="22">
        <f t="shared" si="0"/>
        <v>1500</v>
      </c>
      <c r="J7" s="25">
        <f t="shared" si="6"/>
        <v>1200</v>
      </c>
      <c r="K7" s="29">
        <f t="shared" si="1"/>
        <v>8.3333333333333339E-4</v>
      </c>
      <c r="L7" s="29">
        <f t="shared" si="2"/>
        <v>0</v>
      </c>
      <c r="M7" s="29">
        <f t="shared" si="3"/>
        <v>8.5354896675651391E-4</v>
      </c>
      <c r="N7" s="29">
        <f t="shared" si="4"/>
        <v>0</v>
      </c>
      <c r="O7" s="27">
        <f t="shared" si="5"/>
        <v>0</v>
      </c>
    </row>
    <row r="8" spans="1:15" x14ac:dyDescent="0.25">
      <c r="A8" s="113">
        <v>6</v>
      </c>
      <c r="B8" s="15" t="s">
        <v>280</v>
      </c>
      <c r="C8" s="16" t="s">
        <v>275</v>
      </c>
      <c r="D8" s="17">
        <v>2122</v>
      </c>
      <c r="E8" s="18"/>
      <c r="F8" s="18"/>
      <c r="G8" s="18">
        <v>1000</v>
      </c>
      <c r="H8" s="18">
        <v>1500</v>
      </c>
      <c r="I8" s="18">
        <f t="shared" si="0"/>
        <v>1250</v>
      </c>
      <c r="J8" s="25">
        <v>1250</v>
      </c>
      <c r="K8" s="28">
        <f t="shared" si="1"/>
        <v>8.0000000000000004E-4</v>
      </c>
      <c r="L8" s="28">
        <f t="shared" si="2"/>
        <v>1.69</v>
      </c>
      <c r="M8" s="28">
        <f t="shared" si="3"/>
        <v>8.1940700808625332E-4</v>
      </c>
      <c r="N8" s="28">
        <f t="shared" si="4"/>
        <v>1.7387816711590296</v>
      </c>
      <c r="O8" s="27">
        <f t="shared" si="5"/>
        <v>1220.3947368421054</v>
      </c>
    </row>
    <row r="9" spans="1:15" x14ac:dyDescent="0.25">
      <c r="A9" s="114">
        <v>7</v>
      </c>
      <c r="B9" s="19" t="s">
        <v>281</v>
      </c>
      <c r="C9" s="20" t="s">
        <v>275</v>
      </c>
      <c r="D9" s="21">
        <v>309</v>
      </c>
      <c r="E9" s="22"/>
      <c r="F9" s="22"/>
      <c r="G9" s="22">
        <v>200</v>
      </c>
      <c r="H9" s="22">
        <v>300</v>
      </c>
      <c r="I9" s="22">
        <f t="shared" si="0"/>
        <v>250</v>
      </c>
      <c r="J9" s="25">
        <f t="shared" si="6"/>
        <v>200</v>
      </c>
      <c r="K9" s="29">
        <f t="shared" si="1"/>
        <v>5.0000000000000001E-3</v>
      </c>
      <c r="L9" s="29">
        <f t="shared" si="2"/>
        <v>1.54</v>
      </c>
      <c r="M9" s="29">
        <f t="shared" si="3"/>
        <v>5.1212938005390828E-3</v>
      </c>
      <c r="N9" s="29">
        <f t="shared" si="4"/>
        <v>1.5824797843665765</v>
      </c>
      <c r="O9" s="27">
        <f t="shared" si="5"/>
        <v>195.26315789473688</v>
      </c>
    </row>
    <row r="10" spans="1:15" x14ac:dyDescent="0.25">
      <c r="A10" s="113">
        <v>8</v>
      </c>
      <c r="B10" s="15" t="s">
        <v>282</v>
      </c>
      <c r="C10" s="16" t="s">
        <v>283</v>
      </c>
      <c r="D10" s="17">
        <v>0</v>
      </c>
      <c r="E10" s="18"/>
      <c r="F10" s="18"/>
      <c r="G10" s="18">
        <v>1800</v>
      </c>
      <c r="H10" s="18">
        <v>2700</v>
      </c>
      <c r="I10" s="18">
        <f t="shared" si="0"/>
        <v>2250</v>
      </c>
      <c r="J10" s="25">
        <f t="shared" si="6"/>
        <v>1800</v>
      </c>
      <c r="K10" s="28">
        <f t="shared" si="1"/>
        <v>5.5555555555555556E-4</v>
      </c>
      <c r="L10" s="28">
        <f t="shared" si="2"/>
        <v>0</v>
      </c>
      <c r="M10" s="28">
        <f t="shared" si="3"/>
        <v>5.690326445043425E-4</v>
      </c>
      <c r="N10" s="28">
        <f t="shared" si="4"/>
        <v>0</v>
      </c>
      <c r="O10" s="27">
        <f t="shared" si="5"/>
        <v>0</v>
      </c>
    </row>
    <row r="11" spans="1:15" x14ac:dyDescent="0.25">
      <c r="A11" s="114">
        <v>9</v>
      </c>
      <c r="B11" s="19" t="s">
        <v>284</v>
      </c>
      <c r="C11" s="20" t="s">
        <v>283</v>
      </c>
      <c r="D11" s="21">
        <v>6529</v>
      </c>
      <c r="E11" s="22"/>
      <c r="F11" s="22"/>
      <c r="G11" s="22">
        <v>6000</v>
      </c>
      <c r="H11" s="22">
        <v>9000</v>
      </c>
      <c r="I11" s="22">
        <f t="shared" si="0"/>
        <v>7500</v>
      </c>
      <c r="J11" s="25">
        <f t="shared" si="6"/>
        <v>6000</v>
      </c>
      <c r="K11" s="29">
        <f t="shared" si="1"/>
        <v>1.6666666666666666E-4</v>
      </c>
      <c r="L11" s="29">
        <f t="shared" si="2"/>
        <v>1.08</v>
      </c>
      <c r="M11" s="29">
        <f t="shared" si="3"/>
        <v>1.7070979335130277E-4</v>
      </c>
      <c r="N11" s="29">
        <f t="shared" si="4"/>
        <v>1.1145642407906557</v>
      </c>
      <c r="O11" s="27">
        <f t="shared" si="5"/>
        <v>5857.8947368421059</v>
      </c>
    </row>
    <row r="12" spans="1:15" x14ac:dyDescent="0.25">
      <c r="A12" s="113">
        <v>10</v>
      </c>
      <c r="B12" s="15" t="s">
        <v>285</v>
      </c>
      <c r="C12" s="16" t="s">
        <v>283</v>
      </c>
      <c r="D12" s="17">
        <v>0</v>
      </c>
      <c r="E12" s="18"/>
      <c r="F12" s="18"/>
      <c r="G12" s="18">
        <v>1800</v>
      </c>
      <c r="H12" s="18">
        <v>2700</v>
      </c>
      <c r="I12" s="18">
        <f t="shared" si="0"/>
        <v>2250</v>
      </c>
      <c r="J12" s="25">
        <f t="shared" si="6"/>
        <v>1800</v>
      </c>
      <c r="K12" s="28">
        <f t="shared" si="1"/>
        <v>5.5555555555555556E-4</v>
      </c>
      <c r="L12" s="28">
        <f t="shared" si="2"/>
        <v>0</v>
      </c>
      <c r="M12" s="28">
        <f t="shared" si="3"/>
        <v>5.690326445043425E-4</v>
      </c>
      <c r="N12" s="28">
        <f t="shared" si="4"/>
        <v>0</v>
      </c>
      <c r="O12" s="27">
        <f t="shared" si="5"/>
        <v>0</v>
      </c>
    </row>
    <row r="13" spans="1:15" x14ac:dyDescent="0.25">
      <c r="A13" s="114">
        <v>11</v>
      </c>
      <c r="B13" s="19" t="s">
        <v>286</v>
      </c>
      <c r="C13" s="20" t="s">
        <v>283</v>
      </c>
      <c r="D13" s="21">
        <v>0</v>
      </c>
      <c r="E13" s="22"/>
      <c r="F13" s="22"/>
      <c r="G13" s="22">
        <v>1800</v>
      </c>
      <c r="H13" s="22">
        <v>2700</v>
      </c>
      <c r="I13" s="22">
        <f t="shared" si="0"/>
        <v>2250</v>
      </c>
      <c r="J13" s="25">
        <f t="shared" si="6"/>
        <v>1800</v>
      </c>
      <c r="K13" s="29">
        <f t="shared" si="1"/>
        <v>5.5555555555555556E-4</v>
      </c>
      <c r="L13" s="29">
        <f t="shared" si="2"/>
        <v>0</v>
      </c>
      <c r="M13" s="29">
        <f t="shared" si="3"/>
        <v>5.690326445043425E-4</v>
      </c>
      <c r="N13" s="29">
        <f t="shared" si="4"/>
        <v>0</v>
      </c>
      <c r="O13" s="27">
        <f t="shared" si="5"/>
        <v>0</v>
      </c>
    </row>
    <row r="14" spans="1:15" x14ac:dyDescent="0.25">
      <c r="A14" s="113">
        <v>12</v>
      </c>
      <c r="B14" s="15" t="s">
        <v>287</v>
      </c>
      <c r="C14" s="16" t="s">
        <v>283</v>
      </c>
      <c r="D14" s="17">
        <v>5739</v>
      </c>
      <c r="E14" s="18"/>
      <c r="F14" s="18"/>
      <c r="G14" s="18">
        <v>1800</v>
      </c>
      <c r="H14" s="18">
        <v>2700</v>
      </c>
      <c r="I14" s="18">
        <f t="shared" si="0"/>
        <v>2250</v>
      </c>
      <c r="J14" s="25">
        <f t="shared" si="6"/>
        <v>1800</v>
      </c>
      <c r="K14" s="28">
        <f t="shared" si="1"/>
        <v>5.5555555555555556E-4</v>
      </c>
      <c r="L14" s="28">
        <f t="shared" si="2"/>
        <v>3.18</v>
      </c>
      <c r="M14" s="28">
        <f t="shared" si="3"/>
        <v>5.690326445043425E-4</v>
      </c>
      <c r="N14" s="28">
        <f t="shared" si="4"/>
        <v>3.2656783468104216</v>
      </c>
      <c r="O14" s="27">
        <f t="shared" si="5"/>
        <v>1757.3684210526319</v>
      </c>
    </row>
    <row r="15" spans="1:15" x14ac:dyDescent="0.25">
      <c r="A15" s="114">
        <v>13</v>
      </c>
      <c r="B15" s="19" t="s">
        <v>288</v>
      </c>
      <c r="C15" s="20" t="s">
        <v>283</v>
      </c>
      <c r="D15" s="21">
        <v>0</v>
      </c>
      <c r="E15" s="22"/>
      <c r="F15" s="22"/>
      <c r="G15" s="22">
        <v>100000</v>
      </c>
      <c r="H15" s="22">
        <v>100000</v>
      </c>
      <c r="I15" s="22">
        <f t="shared" si="0"/>
        <v>100000</v>
      </c>
      <c r="J15" s="25">
        <f t="shared" si="6"/>
        <v>100000</v>
      </c>
      <c r="K15" s="29">
        <f t="shared" si="1"/>
        <v>1.0000000000000001E-5</v>
      </c>
      <c r="L15" s="29">
        <f t="shared" si="2"/>
        <v>0</v>
      </c>
      <c r="M15" s="29">
        <f t="shared" si="3"/>
        <v>1.0242587601078166E-5</v>
      </c>
      <c r="N15" s="29">
        <f t="shared" si="4"/>
        <v>0</v>
      </c>
      <c r="O15" s="27">
        <f t="shared" si="5"/>
        <v>0</v>
      </c>
    </row>
    <row r="16" spans="1:15" x14ac:dyDescent="0.25">
      <c r="A16" s="113">
        <v>14</v>
      </c>
      <c r="B16" s="15" t="s">
        <v>289</v>
      </c>
      <c r="C16" s="16" t="s">
        <v>290</v>
      </c>
      <c r="D16" s="17">
        <v>0</v>
      </c>
      <c r="E16" s="18">
        <v>16</v>
      </c>
      <c r="F16" s="18">
        <f t="shared" ref="F16:F18" si="7">1/188.76</f>
        <v>5.2977325704598437E-3</v>
      </c>
      <c r="G16" s="18">
        <v>130</v>
      </c>
      <c r="H16" s="18">
        <v>160</v>
      </c>
      <c r="I16" s="18">
        <f t="shared" si="0"/>
        <v>145</v>
      </c>
      <c r="J16" s="25">
        <f t="shared" si="6"/>
        <v>130</v>
      </c>
      <c r="K16" s="28">
        <f t="shared" si="1"/>
        <v>6.5202862405659614E-4</v>
      </c>
      <c r="L16" s="28">
        <f t="shared" si="2"/>
        <v>0</v>
      </c>
      <c r="M16" s="28">
        <f t="shared" si="3"/>
        <v>6.6784603003101483E-4</v>
      </c>
      <c r="N16" s="28">
        <f t="shared" si="4"/>
        <v>0</v>
      </c>
      <c r="O16" s="27">
        <f t="shared" si="5"/>
        <v>0</v>
      </c>
    </row>
    <row r="17" spans="1:15" x14ac:dyDescent="0.25">
      <c r="A17" s="114">
        <v>15</v>
      </c>
      <c r="B17" s="19" t="s">
        <v>291</v>
      </c>
      <c r="C17" s="20" t="s">
        <v>290</v>
      </c>
      <c r="D17" s="21">
        <v>1115</v>
      </c>
      <c r="E17" s="22">
        <v>16</v>
      </c>
      <c r="F17" s="22">
        <f t="shared" si="7"/>
        <v>5.2977325704598437E-3</v>
      </c>
      <c r="G17" s="22">
        <v>300</v>
      </c>
      <c r="H17" s="22">
        <v>380</v>
      </c>
      <c r="I17" s="22">
        <f t="shared" si="0"/>
        <v>340</v>
      </c>
      <c r="J17" s="25">
        <f t="shared" si="6"/>
        <v>300</v>
      </c>
      <c r="K17" s="29">
        <f t="shared" si="1"/>
        <v>2.8254573709119167E-4</v>
      </c>
      <c r="L17" s="29">
        <f t="shared" si="2"/>
        <v>0.31</v>
      </c>
      <c r="M17" s="29">
        <f t="shared" si="3"/>
        <v>2.8939994634677311E-4</v>
      </c>
      <c r="N17" s="29">
        <f t="shared" si="4"/>
        <v>0.322680940176652</v>
      </c>
      <c r="O17" s="27">
        <f t="shared" si="5"/>
        <v>292.89473684210532</v>
      </c>
    </row>
    <row r="18" spans="1:15" x14ac:dyDescent="0.25">
      <c r="A18" s="113">
        <v>16</v>
      </c>
      <c r="B18" s="15" t="s">
        <v>292</v>
      </c>
      <c r="C18" s="16" t="s">
        <v>290</v>
      </c>
      <c r="D18" s="17">
        <v>1115</v>
      </c>
      <c r="E18" s="18">
        <v>16</v>
      </c>
      <c r="F18" s="18">
        <f t="shared" si="7"/>
        <v>5.2977325704598437E-3</v>
      </c>
      <c r="G18" s="18">
        <v>300</v>
      </c>
      <c r="H18" s="18">
        <v>380</v>
      </c>
      <c r="I18" s="18">
        <f t="shared" si="0"/>
        <v>340</v>
      </c>
      <c r="J18" s="25">
        <f t="shared" si="6"/>
        <v>300</v>
      </c>
      <c r="K18" s="28">
        <f t="shared" si="1"/>
        <v>2.8254573709119167E-4</v>
      </c>
      <c r="L18" s="28">
        <f t="shared" si="2"/>
        <v>0.31</v>
      </c>
      <c r="M18" s="28">
        <f t="shared" si="3"/>
        <v>2.8939994634677311E-4</v>
      </c>
      <c r="N18" s="28">
        <f t="shared" si="4"/>
        <v>0.322680940176652</v>
      </c>
      <c r="O18" s="27">
        <f t="shared" si="5"/>
        <v>292.89473684210532</v>
      </c>
    </row>
    <row r="19" spans="1:15" ht="30" x14ac:dyDescent="0.25">
      <c r="A19" s="114">
        <v>17</v>
      </c>
      <c r="B19" s="19" t="s">
        <v>293</v>
      </c>
      <c r="C19" s="23" t="s">
        <v>293</v>
      </c>
      <c r="D19" s="21">
        <v>0</v>
      </c>
      <c r="E19" s="24">
        <v>8</v>
      </c>
      <c r="F19" s="24">
        <f>1/1132.6</f>
        <v>8.8292424509977055E-4</v>
      </c>
      <c r="G19" s="22">
        <v>130</v>
      </c>
      <c r="H19" s="22">
        <v>160</v>
      </c>
      <c r="I19" s="22">
        <f t="shared" si="0"/>
        <v>145</v>
      </c>
      <c r="J19" s="25">
        <f t="shared" si="6"/>
        <v>130</v>
      </c>
      <c r="K19" s="29">
        <f t="shared" si="1"/>
        <v>5.4333799698447419E-5</v>
      </c>
      <c r="L19" s="29">
        <f t="shared" si="2"/>
        <v>0</v>
      </c>
      <c r="M19" s="29">
        <f t="shared" si="3"/>
        <v>5.5651870311078209E-5</v>
      </c>
      <c r="N19" s="29">
        <f t="shared" si="4"/>
        <v>0</v>
      </c>
      <c r="O19" s="27">
        <f t="shared" si="5"/>
        <v>0</v>
      </c>
    </row>
    <row r="20" spans="1:15" ht="16.5" thickTop="1" thickBot="1" x14ac:dyDescent="0.3">
      <c r="A20" s="113">
        <v>18</v>
      </c>
      <c r="B20" s="15" t="s">
        <v>294</v>
      </c>
      <c r="C20" s="16" t="s">
        <v>295</v>
      </c>
      <c r="D20" s="17">
        <v>0</v>
      </c>
      <c r="E20" s="18"/>
      <c r="F20" s="18"/>
      <c r="G20" s="18">
        <v>360</v>
      </c>
      <c r="H20" s="18">
        <v>450</v>
      </c>
      <c r="I20" s="18">
        <f t="shared" si="0"/>
        <v>405</v>
      </c>
      <c r="J20" s="25">
        <f t="shared" si="6"/>
        <v>360</v>
      </c>
      <c r="K20" s="28">
        <f t="shared" si="1"/>
        <v>2.7777777777777779E-3</v>
      </c>
      <c r="L20" s="28">
        <f t="shared" si="2"/>
        <v>0</v>
      </c>
      <c r="M20" s="28">
        <f t="shared" si="3"/>
        <v>2.8451632225217128E-3</v>
      </c>
      <c r="N20" s="28">
        <f t="shared" si="4"/>
        <v>0</v>
      </c>
      <c r="O20" s="27">
        <f t="shared" si="5"/>
        <v>0</v>
      </c>
    </row>
    <row r="21" spans="1:15" ht="16.5" thickTop="1" thickBot="1" x14ac:dyDescent="0.3">
      <c r="A21" s="9"/>
      <c r="B21" s="9" t="s">
        <v>200</v>
      </c>
      <c r="C21" s="9"/>
      <c r="D21" s="9"/>
      <c r="E21" s="9"/>
      <c r="F21" s="9"/>
      <c r="G21" s="9"/>
      <c r="H21" s="9"/>
      <c r="I21" s="9"/>
      <c r="J21" s="9"/>
      <c r="K21" s="9"/>
      <c r="L21" s="30">
        <f>SUM(L3:L20)</f>
        <v>18.55</v>
      </c>
      <c r="M21" s="30">
        <f>ROUND(L21,0)</f>
        <v>19</v>
      </c>
      <c r="N21" s="31">
        <f>SUM(N3:N20)</f>
        <v>19.044704930501389</v>
      </c>
      <c r="O21" s="9"/>
    </row>
    <row r="22" spans="1:15" ht="15.75" thickTop="1" x14ac:dyDescent="0.25"/>
    <row r="23" spans="1:15" ht="15.75" thickBot="1" x14ac:dyDescent="0.3">
      <c r="A23" s="9"/>
      <c r="B23" s="9" t="s">
        <v>296</v>
      </c>
      <c r="C23" s="9">
        <f>TRUNC(IF(N21&gt;30,2,1),2)</f>
        <v>1</v>
      </c>
    </row>
    <row r="24" spans="1:15" ht="15.75" thickTop="1" x14ac:dyDescent="0.25"/>
  </sheetData>
  <pageMargins left="0.25" right="0.25" top="0.75" bottom="0.75" header="0.3" footer="0.3"/>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S a n d b o x N o n E m p t y " > < C u s t o m C o n t e n t > < ! [ C D A T A [ 1 ] ] > < / C u s t o m C o n t e n t > < / G e m i n i > 
</file>

<file path=customXml/item11.xml>��< ? x m l   v e r s i o n = " 1 . 0 "   e n c o d i n g = " U T F - 1 6 " ? > < G e m i n i   x m l n s = " h t t p : / / g e m i n i / p i v o t c u s t o m i z a t i o n / I s S a n d b o x E m b e d d e d " > < C u s t o m C o n t e n t > < ! [ C D A T A [ y e s ] ] > < / C u s t o m C o n t e n t > < / G e m i n i > 
</file>

<file path=customXml/item1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3.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4.xml>��< ? x m l   v e r s i o n = " 1 . 0 "   e n c o d i n g = " U T F - 1 6 " ? > < G e m i n i   x m l n s = " h t t p : / / g e m i n i / p i v o t c u s t o m i z a t i o n / C l i e n t W i n d o w X M L " > < 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S h o w I m p l i c i t M e a s u r e s " > < C u s t o m C o n t e n t > < ! [ C D A T A [ F a l s e ] ] > < / C u s t o m C o n t e n t > < / G e m i n i > 
</file>

<file path=customXml/item17.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M a n u a l C a l c M o d e " > < C u s t o m C o n t e n t > < ! [ C D A T A [ F a l s e ] ] > < / 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4.xml>��< ? x m l   v e r s i o n = " 1 . 0 "   e n c o d i n g = " U T F - 1 6 " ? > < G e m i n i   x m l n s = " h t t p : / / g e m i n i / p i v o t c u s t o m i z a t i o n / P o w e r P i v o t V e r s i o n " > < C u s t o m C o n t e n t > < ! [ C D A T A [ 2 0 1 5 . 1 3 0 . 8 0 0 . 9 5 8 ] ] > < / C u s t o m C o n t e n t > < / G e m i n i > 
</file>

<file path=customXml/item5.xml>��< ? x m l   v e r s i o n = " 1 . 0 "   e n c o d i n g = " U T F - 1 6 " ? > < G e m i n i   x m l n s = " h t t p : / / g e m i n i / p i v o t c u s t o m i z a t i o n / R e l a t i o n s h i p A u t o D e t e c t i o n E n a b l e d " > < C u s t o m C o n t e n t > < ! [ C D A T A [ T r u e ] ] > < / C u s t o m C o n t e n t > < / G e m i n i > 
</file>

<file path=customXml/item6.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7.xml>��< ? x m l   v e r s i o n = " 1 . 0 "   e n c o d i n g = " U T F - 1 6 " ? > < G e m i n i   x m l n s = " h t t p : / / g e m i n i / p i v o t c u s t o m i z a t i o n / T a b l e O r d e r " > < C u s t o m C o n t e n t > < ! [ C D A T A [ T a b l e 3 ] ] > < / C u s t o m C o n t e n t > < / G e m i n i > 
</file>

<file path=customXml/item8.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9.xml>��< ? x m l   v e r s i o n = " 1 . 0 "   e n c o d i n g = " U T F - 1 6 " ? > < G e m i n i   x m l n s = " h t t p : / / g e m i n i / p i v o t c u s t o m i z a t i o n / S h o w H i d d e n " > < C u s t o m C o n t e n t > < ! [ C D A T A [ T r u e ] ] > < / C u s t o m C o n t e n t > < / G e m i n i > 
</file>

<file path=customXml/itemProps1.xml><?xml version="1.0" encoding="utf-8"?>
<ds:datastoreItem xmlns:ds="http://schemas.openxmlformats.org/officeDocument/2006/customXml" ds:itemID="{D59F7F65-5792-4AFD-807E-6EF0ED8CC599}">
  <ds:schemaRefs/>
</ds:datastoreItem>
</file>

<file path=customXml/itemProps10.xml><?xml version="1.0" encoding="utf-8"?>
<ds:datastoreItem xmlns:ds="http://schemas.openxmlformats.org/officeDocument/2006/customXml" ds:itemID="{46933E33-13A0-4B69-B2FA-6AAEDB07CE8E}">
  <ds:schemaRefs/>
</ds:datastoreItem>
</file>

<file path=customXml/itemProps11.xml><?xml version="1.0" encoding="utf-8"?>
<ds:datastoreItem xmlns:ds="http://schemas.openxmlformats.org/officeDocument/2006/customXml" ds:itemID="{44A77694-12D2-45C6-BC21-B74C17479B00}">
  <ds:schemaRefs/>
</ds:datastoreItem>
</file>

<file path=customXml/itemProps12.xml><?xml version="1.0" encoding="utf-8"?>
<ds:datastoreItem xmlns:ds="http://schemas.openxmlformats.org/officeDocument/2006/customXml" ds:itemID="{9BACF4D7-AB33-456E-B4D8-64981D96218B}">
  <ds:schemaRefs/>
</ds:datastoreItem>
</file>

<file path=customXml/itemProps13.xml><?xml version="1.0" encoding="utf-8"?>
<ds:datastoreItem xmlns:ds="http://schemas.openxmlformats.org/officeDocument/2006/customXml" ds:itemID="{B16AAB40-06F4-435D-8AEF-E5DD6D81CDCA}">
  <ds:schemaRefs/>
</ds:datastoreItem>
</file>

<file path=customXml/itemProps14.xml><?xml version="1.0" encoding="utf-8"?>
<ds:datastoreItem xmlns:ds="http://schemas.openxmlformats.org/officeDocument/2006/customXml" ds:itemID="{102A8123-E0B1-4E0D-AFB0-8D7CF46718CC}">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E7DDFF85-C6C0-4AA7-BEBD-C27D20512296}">
  <ds:schemaRefs/>
</ds:datastoreItem>
</file>

<file path=customXml/itemProps17.xml><?xml version="1.0" encoding="utf-8"?>
<ds:datastoreItem xmlns:ds="http://schemas.openxmlformats.org/officeDocument/2006/customXml" ds:itemID="{3E7DADF5-98D3-409D-B380-09EE56B84F94}">
  <ds:schemaRefs/>
</ds:datastoreItem>
</file>

<file path=customXml/itemProps2.xml><?xml version="1.0" encoding="utf-8"?>
<ds:datastoreItem xmlns:ds="http://schemas.openxmlformats.org/officeDocument/2006/customXml" ds:itemID="{D60EC4F2-A7A0-467F-9B3F-475B4E9FD7CF}">
  <ds:schemaRefs/>
</ds:datastoreItem>
</file>

<file path=customXml/itemProps3.xml><?xml version="1.0" encoding="utf-8"?>
<ds:datastoreItem xmlns:ds="http://schemas.openxmlformats.org/officeDocument/2006/customXml" ds:itemID="{AF3839CB-EB85-4B93-B2E6-2A84403A12C5}">
  <ds:schemaRefs/>
</ds:datastoreItem>
</file>

<file path=customXml/itemProps4.xml><?xml version="1.0" encoding="utf-8"?>
<ds:datastoreItem xmlns:ds="http://schemas.openxmlformats.org/officeDocument/2006/customXml" ds:itemID="{4221D6DA-6518-4041-9D3B-13E6A4AC98E7}">
  <ds:schemaRefs/>
</ds:datastoreItem>
</file>

<file path=customXml/itemProps5.xml><?xml version="1.0" encoding="utf-8"?>
<ds:datastoreItem xmlns:ds="http://schemas.openxmlformats.org/officeDocument/2006/customXml" ds:itemID="{32804E0E-2ECA-4E83-87CF-BB27BCF3B2F6}">
  <ds:schemaRefs/>
</ds:datastoreItem>
</file>

<file path=customXml/itemProps6.xml><?xml version="1.0" encoding="utf-8"?>
<ds:datastoreItem xmlns:ds="http://schemas.openxmlformats.org/officeDocument/2006/customXml" ds:itemID="{3D0EB289-6ADA-4ABF-954F-CBB24501EBB1}">
  <ds:schemaRefs/>
</ds:datastoreItem>
</file>

<file path=customXml/itemProps7.xml><?xml version="1.0" encoding="utf-8"?>
<ds:datastoreItem xmlns:ds="http://schemas.openxmlformats.org/officeDocument/2006/customXml" ds:itemID="{5F29046F-1CBC-4FD4-80CF-724367A55723}">
  <ds:schemaRefs/>
</ds:datastoreItem>
</file>

<file path=customXml/itemProps8.xml><?xml version="1.0" encoding="utf-8"?>
<ds:datastoreItem xmlns:ds="http://schemas.openxmlformats.org/officeDocument/2006/customXml" ds:itemID="{7AF3AD75-BA31-4F4A-984F-395A7399A996}">
  <ds:schemaRefs/>
</ds:datastoreItem>
</file>

<file path=customXml/itemProps9.xml><?xml version="1.0" encoding="utf-8"?>
<ds:datastoreItem xmlns:ds="http://schemas.openxmlformats.org/officeDocument/2006/customXml" ds:itemID="{D24CE791-0A0A-4653-9537-015962008E3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30</vt:i4>
      </vt:variant>
    </vt:vector>
  </HeadingPairs>
  <TitlesOfParts>
    <vt:vector size="40" baseType="lpstr">
      <vt:lpstr>Servente</vt:lpstr>
      <vt:lpstr>Encarregado</vt:lpstr>
      <vt:lpstr>RESUMO</vt:lpstr>
      <vt:lpstr>Encarregado (Líder)</vt:lpstr>
      <vt:lpstr>ASG</vt:lpstr>
      <vt:lpstr>Materiais</vt:lpstr>
      <vt:lpstr>Uniformes EPI</vt:lpstr>
      <vt:lpstr>Equipamentos</vt:lpstr>
      <vt:lpstr>Áreas e Produtividades</vt:lpstr>
      <vt:lpstr>Valor Unitário (m²)</vt:lpstr>
      <vt:lpstr>Encarregado!_1A</vt:lpstr>
      <vt:lpstr>Servente!_1A</vt:lpstr>
      <vt:lpstr>Encarregado!_1B</vt:lpstr>
      <vt:lpstr>Servente!_1B</vt:lpstr>
      <vt:lpstr>Encarregado!_1C</vt:lpstr>
      <vt:lpstr>Servente!_1C</vt:lpstr>
      <vt:lpstr>Encarregado!_1D</vt:lpstr>
      <vt:lpstr>Servente!_1D</vt:lpstr>
      <vt:lpstr>Encarregado!_1E</vt:lpstr>
      <vt:lpstr>Servente!_1E</vt:lpstr>
      <vt:lpstr>Encarregado!_1F</vt:lpstr>
      <vt:lpstr>Servente!_1F</vt:lpstr>
      <vt:lpstr>Encarregado!_2.1A</vt:lpstr>
      <vt:lpstr>Servente!_2.1A</vt:lpstr>
      <vt:lpstr>Encarregado!_2.1B</vt:lpstr>
      <vt:lpstr>Servente!_2.1B</vt:lpstr>
      <vt:lpstr>Encarregado!_2.3A</vt:lpstr>
      <vt:lpstr>Servente!_2.3A</vt:lpstr>
      <vt:lpstr>Encarregado!_2.3B</vt:lpstr>
      <vt:lpstr>Servente!_2.3B</vt:lpstr>
      <vt:lpstr>Encarregado!_2.3C</vt:lpstr>
      <vt:lpstr>Servente!_2.3C</vt:lpstr>
      <vt:lpstr>Encarregado!_2.3D</vt:lpstr>
      <vt:lpstr>Servente!_2.3D</vt:lpstr>
      <vt:lpstr>ASG!Print_Area</vt:lpstr>
      <vt:lpstr>'Encarregado (Líder)'!Print_Area</vt:lpstr>
      <vt:lpstr>Encarregado!Salário_Normativo_da_Categoria_Profissional</vt:lpstr>
      <vt:lpstr>Servente!Salário_Normativo_da_Categoria_Profissional</vt:lpstr>
      <vt:lpstr>Encarregado!SalarioBase</vt:lpstr>
      <vt:lpstr>Servente!SalarioBase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Rafael Rodrigues Lopes</cp:lastModifiedBy>
  <cp:lastPrinted>2023-02-28T13:11:36Z</cp:lastPrinted>
  <dcterms:created xsi:type="dcterms:W3CDTF">2019-02-19T21:25:00Z</dcterms:created>
  <dcterms:modified xsi:type="dcterms:W3CDTF">2023-05-09T19:18:46Z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1046-11.2.0.11380</vt:lpwstr>
  </property>
  <property fmtid="{D5CDD505-2E9C-101B-9397-08002B2CF9AE}" pid="3" name="ICV">
    <vt:lpwstr>F180CD8E0E7142F3A6EC2567328C770B</vt:lpwstr>
  </property>
</Properties>
</file>